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K:\04_FACILITIES\01_ECONOMAT\03_MARCHES_PUBLICS\2022\2022K0258_Kantoorbenodigdheden\02CSC\Definitieve_versies\Inventarissen definitief publicatie\"/>
    </mc:Choice>
  </mc:AlternateContent>
  <xr:revisionPtr revIDLastSave="0" documentId="13_ncr:1_{766DAE4D-4A7F-4FD5-B8A4-38042A562264}" xr6:coauthVersionLast="47" xr6:coauthVersionMax="47" xr10:uidLastSave="{00000000-0000-0000-0000-000000000000}"/>
  <bookViews>
    <workbookView xWindow="-108" yWindow="-108" windowWidth="23256" windowHeight="12576" activeTab="1" xr2:uid="{00000000-000D-0000-FFFF-FFFF00000000}"/>
  </bookViews>
  <sheets>
    <sheet name="Postes_NL" sheetId="1" r:id="rId1"/>
    <sheet name="Postes_F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93" i="1" l="1"/>
  <c r="F193" i="2"/>
  <c r="F228" i="2" l="1"/>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4" i="2"/>
  <c r="F163" i="2"/>
  <c r="F162" i="2"/>
  <c r="F161" i="2"/>
  <c r="F160" i="2"/>
  <c r="F159" i="2"/>
  <c r="F157" i="2"/>
  <c r="F156" i="2"/>
  <c r="F155" i="2"/>
  <c r="F154" i="2"/>
  <c r="F153" i="2"/>
  <c r="F152" i="2"/>
  <c r="F151" i="2"/>
  <c r="F150" i="2"/>
  <c r="F149" i="2"/>
  <c r="F148" i="2"/>
  <c r="F147" i="2"/>
  <c r="F146" i="2"/>
  <c r="F145" i="2"/>
  <c r="F144" i="2"/>
  <c r="F143" i="2"/>
  <c r="F141" i="2"/>
  <c r="F140" i="2"/>
  <c r="F139" i="2"/>
  <c r="F138" i="2"/>
  <c r="F137" i="2"/>
  <c r="F136" i="2"/>
  <c r="F135" i="2"/>
  <c r="F134" i="2"/>
  <c r="F133" i="2"/>
  <c r="F132" i="2"/>
  <c r="F131" i="2"/>
  <c r="F130"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7" i="2"/>
  <c r="F96" i="2"/>
  <c r="F95" i="2"/>
  <c r="F94" i="2"/>
  <c r="F93" i="2"/>
  <c r="F92" i="2"/>
  <c r="F91" i="2"/>
  <c r="F90" i="2"/>
  <c r="F89" i="2"/>
  <c r="F88" i="2"/>
  <c r="F87" i="2"/>
  <c r="F86" i="2"/>
  <c r="F85" i="2"/>
  <c r="F84" i="2"/>
  <c r="F83" i="2"/>
  <c r="F82" i="2"/>
  <c r="F81" i="2"/>
  <c r="F80" i="2"/>
  <c r="F79" i="2"/>
  <c r="F78" i="2"/>
  <c r="F77" i="2"/>
  <c r="F76" i="2"/>
  <c r="F75" i="2"/>
  <c r="F74" i="2"/>
  <c r="F73" i="2"/>
  <c r="F72"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1" i="2"/>
  <c r="F20" i="2"/>
  <c r="F19" i="2"/>
  <c r="F18" i="2"/>
  <c r="F17" i="2"/>
  <c r="F16" i="2"/>
  <c r="F15" i="2"/>
  <c r="F14" i="2"/>
  <c r="F13" i="2"/>
  <c r="F12" i="2"/>
  <c r="F11" i="2"/>
  <c r="F10" i="2"/>
  <c r="F9" i="2"/>
  <c r="F8" i="2"/>
  <c r="F7" i="2"/>
  <c r="F6" i="2"/>
  <c r="F5" i="2"/>
  <c r="F4" i="2"/>
  <c r="F3" i="2"/>
  <c r="F228" i="1" l="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F195" i="1"/>
  <c r="F194" i="1"/>
  <c r="F192" i="1"/>
  <c r="F191" i="1"/>
  <c r="F190" i="1"/>
  <c r="F189" i="1"/>
  <c r="F188" i="1"/>
  <c r="F187" i="1"/>
  <c r="F186" i="1"/>
  <c r="F185" i="1"/>
  <c r="F184" i="1"/>
  <c r="F183" i="1"/>
  <c r="F182" i="1"/>
  <c r="F181" i="1"/>
  <c r="F180" i="1"/>
  <c r="F178" i="1"/>
  <c r="F177" i="1"/>
  <c r="F176" i="1"/>
  <c r="F175" i="1"/>
  <c r="F174" i="1"/>
  <c r="F173" i="1"/>
  <c r="F172" i="1"/>
  <c r="F171" i="1"/>
  <c r="F170" i="1"/>
  <c r="F169" i="1"/>
  <c r="F168" i="1"/>
  <c r="F167" i="1"/>
  <c r="F166" i="1"/>
  <c r="F164" i="1"/>
  <c r="F163" i="1"/>
  <c r="F162" i="1"/>
  <c r="F161" i="1"/>
  <c r="F160" i="1"/>
  <c r="F159" i="1"/>
  <c r="F157" i="1"/>
  <c r="F156" i="1"/>
  <c r="F155" i="1"/>
  <c r="F154" i="1"/>
  <c r="F153" i="1"/>
  <c r="F152" i="1"/>
  <c r="F151" i="1"/>
  <c r="F150" i="1"/>
  <c r="F149" i="1"/>
  <c r="F148" i="1"/>
  <c r="F147" i="1"/>
  <c r="F146" i="1"/>
  <c r="F145" i="1"/>
  <c r="F144" i="1"/>
  <c r="F143" i="1"/>
  <c r="F141" i="1"/>
  <c r="F140" i="1"/>
  <c r="F139" i="1"/>
  <c r="F138" i="1"/>
  <c r="F137" i="1"/>
  <c r="F136" i="1"/>
  <c r="F135" i="1"/>
  <c r="F134" i="1"/>
  <c r="F133" i="1"/>
  <c r="F132" i="1"/>
  <c r="F131" i="1"/>
  <c r="F130"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7" i="1"/>
  <c r="F96" i="1"/>
  <c r="F95" i="1"/>
  <c r="F94" i="1"/>
  <c r="F93" i="1"/>
  <c r="F92" i="1"/>
  <c r="F91" i="1"/>
  <c r="F90" i="1"/>
  <c r="F89" i="1"/>
  <c r="F88" i="1"/>
  <c r="F87" i="1"/>
  <c r="F86" i="1"/>
  <c r="F85" i="1"/>
  <c r="F84" i="1"/>
  <c r="F83" i="1"/>
  <c r="F82" i="1"/>
  <c r="F81" i="1"/>
  <c r="F80" i="1"/>
  <c r="F79" i="1"/>
  <c r="F78" i="1"/>
  <c r="F77" i="1"/>
  <c r="F76" i="1"/>
  <c r="F75" i="1"/>
  <c r="F74" i="1"/>
  <c r="F73" i="1"/>
  <c r="F72"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1" i="1"/>
  <c r="F20" i="1"/>
  <c r="F19" i="1"/>
  <c r="F18" i="1"/>
  <c r="F17" i="1"/>
  <c r="F16" i="1"/>
  <c r="F15" i="1"/>
  <c r="F14" i="1"/>
  <c r="F13" i="1"/>
  <c r="F12" i="1"/>
  <c r="F11" i="1"/>
  <c r="F10" i="1"/>
  <c r="F9" i="1"/>
  <c r="F8" i="1"/>
  <c r="F7" i="1"/>
  <c r="F6" i="1"/>
  <c r="F5" i="1"/>
  <c r="F4" i="1"/>
  <c r="F3" i="1"/>
  <c r="F179" i="1" l="1"/>
  <c r="M229" i="2" l="1"/>
  <c r="M230" i="2" l="1"/>
  <c r="M231" i="2" s="1"/>
  <c r="M229" i="1" l="1"/>
  <c r="M230" i="1" s="1"/>
  <c r="M231" i="1" s="1"/>
</calcChain>
</file>

<file path=xl/sharedStrings.xml><?xml version="1.0" encoding="utf-8"?>
<sst xmlns="http://schemas.openxmlformats.org/spreadsheetml/2006/main" count="1944" uniqueCount="744">
  <si>
    <t>Type</t>
  </si>
  <si>
    <t>EH</t>
  </si>
  <si>
    <t xml:space="preserve"> +</t>
  </si>
  <si>
    <t xml:space="preserve"> -</t>
  </si>
  <si>
    <t>Aann./ Entre.</t>
  </si>
  <si>
    <t>EHP in letters / 
EHP en lettres</t>
  </si>
  <si>
    <t>Btw / TVA</t>
  </si>
  <si>
    <t>De eenheidsprijzen dienen opgegeven te worden tot 2 cijfers na de komma.
De producten hoeveelheid x eenheidsprijs dienen echter telkens op 2 cijfers na de komma afgerond te worden. / 
Les prix unitaires doivent être indiqués à deux décimales près.
La quantité des produits × prix unitaire doit toutefois être arrondie à 2 décimales après la virgule.</t>
  </si>
  <si>
    <t>Gezien, onderzocht en aangevuld met eenheidsprijzen, gedeeltelijke sommen en de totale som die gediend hebben tot het vaststellen van het bedrag van mijn inschrijving van heden, om gevoegd te worden bij mijn offerteformulier.
Te .......................................... de ......................................................                  Functie: ......................................................
Naam en voornaam: ............................................................................               Handtekening:
Vu, examiné et complété par les prix unitaires, les sommes partielles et la somme totale qui a servi à déterminer le montant de mon offre d’aujourd’hui. À joindre à mon formulaire d’offre.
À .......................................... le ......................................................                  Fonction : ......................................................
Nom et prénom : ............................................................................               Signature :</t>
  </si>
  <si>
    <t>VH</t>
  </si>
  <si>
    <t>Numéro Ultimo</t>
  </si>
  <si>
    <t>0000005</t>
  </si>
  <si>
    <t>0000006</t>
  </si>
  <si>
    <t>0000007</t>
  </si>
  <si>
    <t>0000008</t>
  </si>
  <si>
    <t>0000009</t>
  </si>
  <si>
    <t>0000010</t>
  </si>
  <si>
    <t>0000014</t>
  </si>
  <si>
    <t>0000017</t>
  </si>
  <si>
    <t>0000018</t>
  </si>
  <si>
    <t>0000019</t>
  </si>
  <si>
    <t>0000020</t>
  </si>
  <si>
    <t>0000021</t>
  </si>
  <si>
    <t>0000022</t>
  </si>
  <si>
    <t>0005547</t>
  </si>
  <si>
    <t>0009113</t>
  </si>
  <si>
    <t>0010135</t>
  </si>
  <si>
    <t>0000015</t>
  </si>
  <si>
    <t>0000016</t>
  </si>
  <si>
    <t>0000023</t>
  </si>
  <si>
    <t>0000030</t>
  </si>
  <si>
    <t>0000033</t>
  </si>
  <si>
    <t>0000035</t>
  </si>
  <si>
    <t>0000037</t>
  </si>
  <si>
    <t>0000040</t>
  </si>
  <si>
    <t>0000041</t>
  </si>
  <si>
    <t>0000042</t>
  </si>
  <si>
    <t>0000045</t>
  </si>
  <si>
    <t>0000046</t>
  </si>
  <si>
    <t>0000047</t>
  </si>
  <si>
    <t>0000048</t>
  </si>
  <si>
    <t>0000049</t>
  </si>
  <si>
    <t>0000050</t>
  </si>
  <si>
    <t>0000051</t>
  </si>
  <si>
    <t>0000052</t>
  </si>
  <si>
    <t>0000054</t>
  </si>
  <si>
    <t>0000056</t>
  </si>
  <si>
    <t>0000058</t>
  </si>
  <si>
    <t>0000062</t>
  </si>
  <si>
    <t>0000064</t>
  </si>
  <si>
    <t>0000072</t>
  </si>
  <si>
    <t>0000073</t>
  </si>
  <si>
    <t>0000075</t>
  </si>
  <si>
    <t>0000082</t>
  </si>
  <si>
    <t>0000083</t>
  </si>
  <si>
    <t>0000084</t>
  </si>
  <si>
    <t>0000085</t>
  </si>
  <si>
    <t>0000086</t>
  </si>
  <si>
    <t>0000087</t>
  </si>
  <si>
    <t>0000088</t>
  </si>
  <si>
    <t>0000089</t>
  </si>
  <si>
    <t>0000090</t>
  </si>
  <si>
    <t>0000091</t>
  </si>
  <si>
    <t>0003592</t>
  </si>
  <si>
    <t>0003593</t>
  </si>
  <si>
    <t>0003594</t>
  </si>
  <si>
    <t>0003595</t>
  </si>
  <si>
    <t>0005376</t>
  </si>
  <si>
    <t>0005391</t>
  </si>
  <si>
    <t>0005733</t>
  </si>
  <si>
    <t>0007993</t>
  </si>
  <si>
    <t>0008433</t>
  </si>
  <si>
    <t>0008619</t>
  </si>
  <si>
    <t>0008990</t>
  </si>
  <si>
    <t>0000092</t>
  </si>
  <si>
    <t>0000099</t>
  </si>
  <si>
    <t>0000100</t>
  </si>
  <si>
    <t>0000101</t>
  </si>
  <si>
    <t>0000102</t>
  </si>
  <si>
    <t>0000103</t>
  </si>
  <si>
    <t>0000104</t>
  </si>
  <si>
    <t>0000105</t>
  </si>
  <si>
    <t>0000106</t>
  </si>
  <si>
    <t>0000107</t>
  </si>
  <si>
    <t>0000108</t>
  </si>
  <si>
    <t>0000109</t>
  </si>
  <si>
    <t>0000110</t>
  </si>
  <si>
    <t>0000111</t>
  </si>
  <si>
    <t>0000112</t>
  </si>
  <si>
    <t>0000113</t>
  </si>
  <si>
    <t>0000114</t>
  </si>
  <si>
    <t>0000115</t>
  </si>
  <si>
    <t>0000116</t>
  </si>
  <si>
    <t>0000117</t>
  </si>
  <si>
    <t>0000118</t>
  </si>
  <si>
    <t>0000119</t>
  </si>
  <si>
    <t>0000120</t>
  </si>
  <si>
    <t>0000121</t>
  </si>
  <si>
    <t>0008027</t>
  </si>
  <si>
    <t>0008028</t>
  </si>
  <si>
    <t>0000123</t>
  </si>
  <si>
    <t>0000124</t>
  </si>
  <si>
    <t>0000127</t>
  </si>
  <si>
    <t>0000128</t>
  </si>
  <si>
    <t>0000129</t>
  </si>
  <si>
    <t>0000130</t>
  </si>
  <si>
    <t>0000131</t>
  </si>
  <si>
    <t>0000132</t>
  </si>
  <si>
    <t>0000133</t>
  </si>
  <si>
    <t>0000135</t>
  </si>
  <si>
    <t>0000136</t>
  </si>
  <si>
    <t>0000137</t>
  </si>
  <si>
    <t>0000139</t>
  </si>
  <si>
    <t>0000140</t>
  </si>
  <si>
    <t>0000141</t>
  </si>
  <si>
    <t>0000142</t>
  </si>
  <si>
    <t>0000143</t>
  </si>
  <si>
    <t>0000144</t>
  </si>
  <si>
    <t>0000153</t>
  </si>
  <si>
    <t>0000154</t>
  </si>
  <si>
    <t>0000155</t>
  </si>
  <si>
    <t>0002710</t>
  </si>
  <si>
    <t>0002711</t>
  </si>
  <si>
    <t>0003589</t>
  </si>
  <si>
    <t>0004041</t>
  </si>
  <si>
    <t>0000152</t>
  </si>
  <si>
    <t>0005734</t>
  </si>
  <si>
    <t>0005750</t>
  </si>
  <si>
    <t>0007026</t>
  </si>
  <si>
    <t>0007427</t>
  </si>
  <si>
    <t>0007715</t>
  </si>
  <si>
    <t>0007737</t>
  </si>
  <si>
    <t>0007985</t>
  </si>
  <si>
    <t>0008418</t>
  </si>
  <si>
    <t>0008993</t>
  </si>
  <si>
    <t>0009124</t>
  </si>
  <si>
    <t>0009125</t>
  </si>
  <si>
    <t>0009281</t>
  </si>
  <si>
    <t>0004015</t>
  </si>
  <si>
    <t>0004392</t>
  </si>
  <si>
    <t>0004393</t>
  </si>
  <si>
    <t>0007015</t>
  </si>
  <si>
    <t>0007049</t>
  </si>
  <si>
    <t>0007480</t>
  </si>
  <si>
    <t>0007987</t>
  </si>
  <si>
    <t>0008301</t>
  </si>
  <si>
    <t>0008360</t>
  </si>
  <si>
    <t>0008417</t>
  </si>
  <si>
    <t>0008430</t>
  </si>
  <si>
    <t>0008446</t>
  </si>
  <si>
    <t>0005721</t>
  </si>
  <si>
    <t>0005722</t>
  </si>
  <si>
    <t>0005723</t>
  </si>
  <si>
    <t>0005724</t>
  </si>
  <si>
    <t>0005725</t>
  </si>
  <si>
    <t>0005726</t>
  </si>
  <si>
    <t>0005728</t>
  </si>
  <si>
    <t>0005729</t>
  </si>
  <si>
    <t>0000122</t>
  </si>
  <si>
    <t>0000156</t>
  </si>
  <si>
    <t>0000157</t>
  </si>
  <si>
    <t>0000159</t>
  </si>
  <si>
    <t>0000160</t>
  </si>
  <si>
    <t>0000161</t>
  </si>
  <si>
    <t>0000162</t>
  </si>
  <si>
    <t>0000163</t>
  </si>
  <si>
    <t>0000164</t>
  </si>
  <si>
    <t>0000165</t>
  </si>
  <si>
    <t>0000166</t>
  </si>
  <si>
    <t>0000168</t>
  </si>
  <si>
    <t>0000169</t>
  </si>
  <si>
    <t>0000170</t>
  </si>
  <si>
    <t>0000178</t>
  </si>
  <si>
    <t>0000180</t>
  </si>
  <si>
    <t>0002683</t>
  </si>
  <si>
    <t>0002695</t>
  </si>
  <si>
    <t>0002699</t>
  </si>
  <si>
    <t>0002705</t>
  </si>
  <si>
    <t>0002707</t>
  </si>
  <si>
    <t>0002708</t>
  </si>
  <si>
    <t>0002709</t>
  </si>
  <si>
    <t>0002712</t>
  </si>
  <si>
    <t>0002713</t>
  </si>
  <si>
    <t>0003579</t>
  </si>
  <si>
    <t>0003584</t>
  </si>
  <si>
    <t>0003585</t>
  </si>
  <si>
    <t>0003586</t>
  </si>
  <si>
    <t>0003587</t>
  </si>
  <si>
    <t>0005087</t>
  </si>
  <si>
    <t>0005691</t>
  </si>
  <si>
    <t>0005710</t>
  </si>
  <si>
    <t>0005711</t>
  </si>
  <si>
    <t>0007641</t>
  </si>
  <si>
    <t>0007709</t>
  </si>
  <si>
    <t>0007769</t>
  </si>
  <si>
    <t>0007962</t>
  </si>
  <si>
    <t>0008046</t>
  </si>
  <si>
    <t>0008047</t>
  </si>
  <si>
    <t>0008048</t>
  </si>
  <si>
    <t>0008407</t>
  </si>
  <si>
    <t>0008419</t>
  </si>
  <si>
    <t>0008479</t>
  </si>
  <si>
    <t>0008841</t>
  </si>
  <si>
    <t>0008991</t>
  </si>
  <si>
    <t>0008992</t>
  </si>
  <si>
    <t>0008994</t>
  </si>
  <si>
    <t>0002722</t>
  </si>
  <si>
    <t>0003581</t>
  </si>
  <si>
    <t>0003582</t>
  </si>
  <si>
    <t>0003583</t>
  </si>
  <si>
    <t>0008816</t>
  </si>
  <si>
    <t>0008280</t>
  </si>
  <si>
    <t>0008281</t>
  </si>
  <si>
    <t>0008255</t>
  </si>
  <si>
    <t>0004134</t>
  </si>
  <si>
    <t>0007366</t>
  </si>
  <si>
    <t>0002696</t>
  </si>
  <si>
    <t>0000174</t>
  </si>
  <si>
    <t>0000150</t>
  </si>
  <si>
    <t>0009444</t>
  </si>
  <si>
    <t>0000147</t>
  </si>
  <si>
    <t>Ref: 3.767.511</t>
  </si>
  <si>
    <t>Ref: 1.133.517</t>
  </si>
  <si>
    <t>0007184</t>
  </si>
  <si>
    <t xml:space="preserve">5.046.001 
</t>
  </si>
  <si>
    <t>Terugname artikel</t>
  </si>
  <si>
    <t>Artikelen in PAPIER en KARTON</t>
  </si>
  <si>
    <t>Articles en PAPIER et en CARTON</t>
  </si>
  <si>
    <t>Schrift, grijs linnen, geruit, ingebonden, papier 80 g - A5</t>
  </si>
  <si>
    <t>Carnet, toile grise, quadrillé, relié, papier 80 g – A5</t>
  </si>
  <si>
    <t>Registratieboek, A4, gekartonneerd, geruit, +/- 22 x 35 cm - 96 pagina's, 80 g</t>
  </si>
  <si>
    <t>Livre d’enregistrement, A4, carton, quadrillé, ±22 × 35 cm – 96 pages, 80 g</t>
  </si>
  <si>
    <t>Alfabetische klapper, natuurlijk grijs linnen, A5, geruit,80 g, ingebonden, alfabetische index</t>
  </si>
  <si>
    <t>Carnet alphabétique, toile grise naturelle, A5, quadrillé, 80 g, relié, index alphabétique</t>
  </si>
  <si>
    <t>BT100 pochetten voor warme plastificatie, A4, 250 MICRON +/- 2 x 125 MICRON, glanzend</t>
  </si>
  <si>
    <t>Pochette BT100 pour plastification à chaud, A4, 250 microns ±2 × 125 microns, brillant</t>
  </si>
  <si>
    <t>Registre à reliure cousue , 100 x 160 mm, ligné, 96 feuilles</t>
  </si>
  <si>
    <t>Registre à reliure cousue , 100 x 160 mm, quadrillé, 96 feuilles</t>
  </si>
  <si>
    <t>Rugetiket voor ringmap, 4 cm, zelfklevend - 29 x 3,7 cm - blanco</t>
  </si>
  <si>
    <t>Étiquettes pour classeurs à levier, 4 cm, autocollantes – 29 × 3,7 cm – vierge</t>
  </si>
  <si>
    <t>Rugetiket voor ringmap, 8 cm, zelfklevend - 29 x 6,5 cm - blanco</t>
  </si>
  <si>
    <t>Étiquettes pour classeurs à levier, 8 cm, autocollantes – 29 × 6,5 cm – vierge</t>
  </si>
  <si>
    <t>Inlegkaft papier blauw A4 80gr</t>
  </si>
  <si>
    <t>Sous-chemise papier Bleu A4 80gr</t>
  </si>
  <si>
    <t>Archiefdoos, karton, rug 8 cm, +/- 26 x 34 cm - 100% gerecycleerd karton</t>
  </si>
  <si>
    <t>Boîte d’archivage, carton, dos 8 cm, ±26 × 34 cm – 100 % carton recyclé</t>
  </si>
  <si>
    <t>Archiefdoos, karton, rug 15 cm, +/- 26 x 34 cm - 100% gerecycleerd karton</t>
  </si>
  <si>
    <t>Boîte d’archivage, carton, dos 15 cm, ±26 × 34 cm – 100 % carton recyclé</t>
  </si>
  <si>
    <t>Verzendingskoker 50x8cm</t>
  </si>
  <si>
    <t>Tube d’expédition 50x8cm</t>
  </si>
  <si>
    <t>Geperforeerd pochetten, A4 - met flap, dikte +/- 11/100e</t>
  </si>
  <si>
    <t>Pochettes perforées, A4 – avec rabat, épaisseur ±11/100e</t>
  </si>
  <si>
    <t>Chemise dossier – A4 – ±20 pochettes</t>
  </si>
  <si>
    <t>Plastic brievenbakje, stapelbaar op elkaar / trapsgewijs / in tegengestelde richting - +/- 24,5 x 34 x 5,5 – 100% gerecycleerd plastic, Blauer Engel Label of equivalent</t>
  </si>
  <si>
    <t>Boîte aux lettres en plastique, empilable les unes sur les autres/en escalier/en sens opposé – ±24,5 × 34 × 5,5 – 100 % plastique recyclé, Blauer Engel Label ou équivalent</t>
  </si>
  <si>
    <t>Doorzichtige map, A4, soepel polypropyleen, in bulk - gerecycleerd plastic</t>
  </si>
  <si>
    <t>Chemise transparente, A4, polypropylène souple, en vrac – plastique recyclé</t>
  </si>
  <si>
    <t>Geperforeerde pochette, universeel, A 4 - soepel polypropyleen,gemaakt uit minimaal 50% gerecycleerd materiaal</t>
  </si>
  <si>
    <t>Pochette perforée, universelle, A4 – polypropylène flexible, fait de minimum 50% matérial recyclé</t>
  </si>
  <si>
    <t>Klembord A4 in roestvrij staal met omslag</t>
  </si>
  <si>
    <t>Porte-bloc A4 en acier inoxydable avec rabat</t>
  </si>
  <si>
    <t>Verstevigingsringen (+/- 500 ringen per doosje)</t>
  </si>
  <si>
    <t>Œillets de renfort (±500 œillets par boîte)</t>
  </si>
  <si>
    <t>Snelhechter (archiefbinder)</t>
  </si>
  <si>
    <t>Farde à glissière (Relieur d’archives à lamelle)</t>
  </si>
  <si>
    <t>kunststof hangmappen, V-bodem, blauw 30mm A4</t>
  </si>
  <si>
    <t>Dossier suspendu latéral bleu fond - 30 mm - A4</t>
  </si>
  <si>
    <t>Jalema Mammoet map voor dossiers, 3 kleppen, folio, karton 270 g, grijs</t>
  </si>
  <si>
    <t>Chemise pochette Jalema Mammouth, 3 rabats, folio, carton 270 g, grise</t>
  </si>
  <si>
    <t>clips voor het bundelen van dossiers in uw archief</t>
  </si>
  <si>
    <t>Relieur d'archives pour des documents perforés</t>
  </si>
  <si>
    <t>Flexibel archiefbinder - +/- 10 cm (doos van 100 stuks)</t>
  </si>
  <si>
    <t>Relieur d’archives flexible à lamelle – ±10 cm (boîte de 100 pièces)</t>
  </si>
  <si>
    <t>Vulpotlood, +/- 0,5 mm, in min. 50% gerecycleerd plastic</t>
  </si>
  <si>
    <t>Porte-mines, ±0,5 mm, en min. 50 % plastique recyclé</t>
  </si>
  <si>
    <t>Balpen met houder voor balie</t>
  </si>
  <si>
    <t>Stylo à bille avec support pour comptoir</t>
  </si>
  <si>
    <t>Vulling voor baliebalpen</t>
  </si>
  <si>
    <t>Recharge pour stylo à bille de comptoir</t>
  </si>
  <si>
    <t>Balpen, fijn schrift, rood, intrekbaar - met milieulabel NF Environnement of gelijkwaardig - voor meer dan 60% uit gerecycleerd materiaal</t>
  </si>
  <si>
    <t>Stylo à bille, pointe fine, rouge, rétractable – avec label environnemental NF Environnement ou équivalent – plus de 60 % de matériaux recyclés</t>
  </si>
  <si>
    <t>Crayon de marquage, jaune fluo</t>
  </si>
  <si>
    <t>Crayon de marquage, orange fluo</t>
  </si>
  <si>
    <t>Markeerpotlood, fluo oranje</t>
  </si>
  <si>
    <t>Markeerpotlood, fluo geel</t>
  </si>
  <si>
    <t>Markeerpotlood, fluo roze</t>
  </si>
  <si>
    <t>Crayon de marquage, rose fluo</t>
  </si>
  <si>
    <t>Markeerpotlood, fluo groen</t>
  </si>
  <si>
    <t>Crayon de marquage, vert fluo</t>
  </si>
  <si>
    <t>Stylo-plume pour adultes</t>
  </si>
  <si>
    <t>Vulling, blauwe inkt, lg 4 cm - standaard elk merk (verpakking van 6 stuks)</t>
  </si>
  <si>
    <t>Recharge, encre bleue, l 4 cm – standard chaque marque (paquet de 6 unités)</t>
  </si>
  <si>
    <t>Vulling, zwarte inkt, lg 4 cm - standaard elk merk (verpakking van 6 stuks)</t>
  </si>
  <si>
    <t>Recharge, encre noire, l 4 cm – standard chaque marque (paquet de 6 unités)</t>
  </si>
  <si>
    <t>Inkt voor stempelkussen (zwart) - 30ml</t>
  </si>
  <si>
    <t>Encre pour tampon encreur (noir) - 30ml</t>
  </si>
  <si>
    <t>Inkt voor stempelkussen (rood) - 30 ml</t>
  </si>
  <si>
    <t>Encre pour tampon encreur (rouge) - 30ml</t>
  </si>
  <si>
    <t>Permanente marker, brede beitelpunt 7,5 - 12 mm, blauw</t>
  </si>
  <si>
    <t>Marqueur permanent pointe biseautée 7,5 - 12mm, bleu</t>
  </si>
  <si>
    <t>Permanente marker, brede beitelpunt 7,5 - 12 mm, rood</t>
  </si>
  <si>
    <t>Marqueur permanent pointe biseautée 7,5 - 12mm, rouge</t>
  </si>
  <si>
    <t>CLASSERINGSARTIKELEN</t>
  </si>
  <si>
    <t>ARTICLES CLASSEMENT</t>
  </si>
  <si>
    <t>SCHRIJFBENODIGDHEDEN</t>
  </si>
  <si>
    <t>MATERIEL D’ECRITURE</t>
  </si>
  <si>
    <t>KANTOORBENODIGDHEDEN</t>
  </si>
  <si>
    <t>FOURNITURES DE BUREAU</t>
  </si>
  <si>
    <t>Gewone nietmachine in metaal voor max. 60 vellen in metaal,  14/7</t>
  </si>
  <si>
    <t>Agrafeuse standard en métal jusqu’à max. 60 feuilles 14/7</t>
  </si>
  <si>
    <t>Vernikkelde nietjes voor gewone nietmachine (doos van 5.000 stuks, compatibel met post 94)</t>
  </si>
  <si>
    <t>Agrafes nickelées pour agrafeuse ordinaire (boîte de 5000 pièces, compatible avec le poste 94)</t>
  </si>
  <si>
    <t>Nietjesmachine in metaal grote capaciteit - minimum 100 vellen</t>
  </si>
  <si>
    <t>Agrafeuse en métal de grande capacité – minimum 100 feuilles</t>
  </si>
  <si>
    <t>Vernikkelde nietjes voor nietjestang 23/23</t>
  </si>
  <si>
    <t>Agrafes nickelées pour pince à agrafes 23/23</t>
  </si>
  <si>
    <t>Paperclip, +/- 25 mm, vernikkeld - puntig uiteinde (doosje van 1000 stuks)</t>
  </si>
  <si>
    <t>Trombone, ±25 mm, nickelé – extrémité pointue (boîte de 1000 pièces)</t>
  </si>
  <si>
    <t>Paperclip, +/- 32 mm, vernikkeld - puntig uiteinde (doosje van 1000 stuks)</t>
  </si>
  <si>
    <t>Trombone, ±32 mm, nickelé – extrémité pointue (boîte de 1000 pièces)</t>
  </si>
  <si>
    <t>Paperclip, +/- 77 mm, golvend vlak - puntig uiteinde (doosje van 100 stuks)</t>
  </si>
  <si>
    <t>Trombone, ±77 mm, surface ondulée – extrémité pointue (boîte de 100 pièces)</t>
  </si>
  <si>
    <t>Tweehandige schaar in roestvrij staal met versterkt scharnierpunt - puntig - 18 cm</t>
  </si>
  <si>
    <t>Ciseaux ambidextres en inox à charnière renforcée – bouts pointus – 18 cm</t>
  </si>
  <si>
    <t>Cutter +/- 9 mm</t>
  </si>
  <si>
    <t>Cutter ±9 mm</t>
  </si>
  <si>
    <t>Lemmeten voor cutter +/- 9 mm</t>
  </si>
  <si>
    <t>Lames de cutter ±9 mm</t>
  </si>
  <si>
    <t>Cutter +/- 18 mm</t>
  </si>
  <si>
    <t>Cutter ±18 mm</t>
  </si>
  <si>
    <t>Ontnieter voor meerdere nietjes</t>
  </si>
  <si>
    <t>Ôte-agrafes pour agrafes multiples</t>
  </si>
  <si>
    <t>Metalen Perforator 30 pagina's met geleider</t>
  </si>
  <si>
    <t>Perforatrice en métal 30 pages avec guide</t>
  </si>
  <si>
    <t>Metalen Perforator +/-250 pagina's met geleider</t>
  </si>
  <si>
    <t>Perforatrice en métal +/-250 pages avec guide</t>
  </si>
  <si>
    <t>Bajonetduimspijker, diameter +/-10 mm, in vernikkeld staal zonder plastic</t>
  </si>
  <si>
    <t>Punaise baïonnette, diamètre +/-10 mm, en acier nickelé sans plastique</t>
  </si>
  <si>
    <t>Duimspijker voor bord in kurk</t>
  </si>
  <si>
    <t>Punaise pour tableau de liège</t>
  </si>
  <si>
    <t>Lat, 30 cm, in aluminium</t>
  </si>
  <si>
    <t>Latte, 30 cm, en aluminium</t>
  </si>
  <si>
    <t>Elektrische nietmachine tot +/- 50 vellen</t>
  </si>
  <si>
    <t>Agrafeuse électrique jusqu'à +/- 50 feuilles</t>
  </si>
  <si>
    <t>gegalvaniseerde nietcassette voor elektrische nietmachine tot +/- 50 vellen - compatibel met post 112</t>
  </si>
  <si>
    <t>Cartouche d’agrafes galvanisées pour agrafeuse électrique jusqu'à +/- 50feuilles - compatible avec le poste 112</t>
  </si>
  <si>
    <t>paperclip, vernikkeld, rond, 50 mm</t>
  </si>
  <si>
    <t>reinigingsvloeistof voor whiteboard</t>
  </si>
  <si>
    <t xml:space="preserve">Agrafes Bostich 11/6 (boîte de 1050 pièces) compatible avec agrafeuse actuelle </t>
  </si>
  <si>
    <t>nietjes 66/6, voor elektrische nietmachine</t>
  </si>
  <si>
    <t>agrafes 66/6 galvanisées pour agrafeuse électrique</t>
  </si>
  <si>
    <t>schaalstok, schaal 1/100-200-250-300-400-500</t>
  </si>
  <si>
    <t>Échelle de réduction , échelle 1/100-200-250-300-400-500</t>
  </si>
  <si>
    <t>nietmachine voor intensief gebruik,min 200 vel</t>
  </si>
  <si>
    <t>agrafeuse grande capacité min 200 feuilles</t>
  </si>
  <si>
    <t>nietjes 23/23, gegalvaniseerd voor nietmachine voor intensief gebruik</t>
  </si>
  <si>
    <t>agrafes 23/23 galvanisées pour agrafeuse à grande capacité</t>
  </si>
  <si>
    <t>schaalstok, schaal 1/20-25-50-75-100-125</t>
  </si>
  <si>
    <t>Échelle de réduction , échelle 1/20-25-50-75-100-125</t>
  </si>
  <si>
    <t>schaar ronde punten, 13 cm, voor linkshandigen</t>
  </si>
  <si>
    <t>Ciseaux bouts ronds, 13 cm, pour les gauchers</t>
  </si>
  <si>
    <t>schaar ronde punten, 13 cm, voor rechtshandigen</t>
  </si>
  <si>
    <t>Ciseaux bouts ronds, 13 cm, pour les droitiers</t>
  </si>
  <si>
    <t>Bostitch B8 nietmachine met ontnieter, zwart, 30 vel</t>
  </si>
  <si>
    <t>Agrafeuse Bostitch B8 avec dégrafeur, noire, 30 feuilles</t>
  </si>
  <si>
    <t>STEMPELS</t>
  </si>
  <si>
    <t>TAMPONS</t>
  </si>
  <si>
    <t>Manuele stempel met automatische inktgeving, afmetingen: 35 x 12 mm - maximumaantal tekstlijnen = 4</t>
  </si>
  <si>
    <t>Tampon manuel avec encrage automatique, dimensions : 35 × 12 mm – nombre maximum de lignes de texte = 4</t>
  </si>
  <si>
    <t>Manuele stempel met automatische inktgeving, afmetingen: 74 x 34 mm - maximumaantal tekstlijnen = 10</t>
  </si>
  <si>
    <t>Tampon manuel avec encrage automatique, dimensions : 74 × 34 mm – nombre maximum de lignes de texte = 10</t>
  </si>
  <si>
    <t>Manuele stempel met automatische inktgeving, afmetingen: 70 x 10 mm - maximumaantal tekstlijnen = 2</t>
  </si>
  <si>
    <t>Tampon manuel avec encrage automatique, dimensions : 70 × 10 mm – nombre maximum de lignes de texte = 2</t>
  </si>
  <si>
    <t>Manuele stempel met automatische inktgeving, afmetingen: 70 x 25 mm - maximumaantal tekstlijnen = 7</t>
  </si>
  <si>
    <t>Tampon manuel avec encrage automatique, dimensions : 70 × 25 mm – nombre maximum de lignes de texte = 7</t>
  </si>
  <si>
    <t>Manuele stempel met automatische inktgeving, afmetingen: 28 x 28 mm - maximumaantal tekstlijnen = 6</t>
  </si>
  <si>
    <t>Tampon manuel avec encrage automatique, dimensions : 28 × 28 mm – nombre maximum de lignes de texte = 6</t>
  </si>
  <si>
    <t>Manuele stempel met automatische inktgeving, rond, diameter: +/- 44 mm - maximumaantal tekstlijnen = 8</t>
  </si>
  <si>
    <t>Tampon manuel avec encrage automatique, rond, diamètre : ±44 mm – nombre maximum de lignes de texte = 8</t>
  </si>
  <si>
    <t>Manuele stempel met automatische inktgeving, afmetingen: 50 x 30 mm - maximumaantal tekstlijnen = 8</t>
  </si>
  <si>
    <t>Tampon manuel avec encrage automatique, dimensions : 50 × 30 mm – nombre maximum de lignes de texte = 8</t>
  </si>
  <si>
    <t>Manuele datumstempel met automatische inktgeving, afmetingen: 75 x 38 mm - maximumaantal tekstlijnen = 8</t>
  </si>
  <si>
    <t>Tampon dateur manuel avec encrage automatique, dimensions : 75 × 38 mm – nombre maximum de lignes de texte = 8</t>
  </si>
  <si>
    <t>Manuele stempel met automatische inktgeving, afmetingen: 55 x 34 mm - maximumaantal tekstlijnen = 10</t>
  </si>
  <si>
    <t>Tampon manuel avec encrage automatique, dimensions : 55 × 34 mm – nombre maximum de lignes de texte = 10</t>
  </si>
  <si>
    <t>Manuele stempel met automatische inktgeving, afmetingen: 47 x 18 mm - maximumaantal tekstlijnen = 5</t>
  </si>
  <si>
    <t>Tampon manuel avec encrage automatique, dimensions : 47 × 18 mm – nombre maximum de lignes de texte = 5</t>
  </si>
  <si>
    <t>Manuele stempel met automatische inktgeving, afmetingen: 85 x 55 mm - maximumaantal tekstlijnen = 12</t>
  </si>
  <si>
    <t>Tampon manuel avec encrage automatique, dimensions : 85 × 55 mm – nombre maximum de lignes de texte = 12</t>
  </si>
  <si>
    <t>Manuele stempel met automatische inktgeving, afmetingen: +/- 44 x 25 mm - maximumaantal tekstlijnen = 8</t>
  </si>
  <si>
    <t>Tampon manuel avec encrage automatique, dimensions : ±44 × 25 mm – nombre maximum de lignes de texte = 8</t>
  </si>
  <si>
    <t>BORDEN</t>
  </si>
  <si>
    <t>TABLEAUX</t>
  </si>
  <si>
    <t>Markeerstiften voor flip-over met inkt op waterbasis (per zakje van 4)</t>
  </si>
  <si>
    <t>Marqueurs pour chevalet de conférence à encre à base d’eau (par sachet de 4)</t>
  </si>
  <si>
    <t>Flip-overbord - zonder magneten</t>
  </si>
  <si>
    <t>Chevalet de conférence – sans aimants</t>
  </si>
  <si>
    <t>Wit bord, geëmailleerd, magnetisch, voor wandmontage, geschikt voor viltstiften, met bakje: +/- 45 x 60 cm</t>
  </si>
  <si>
    <t>Tableau blanc, émaillé, magnétique, pour montage mural, convient pour feutres, avec auget porte-accessoires : ±45 × 60 cm</t>
  </si>
  <si>
    <t>Wit bord, geëmailleerd, magnetisch, voor wandmontage, geschikt voor viltstiften, met bakje: +/- 150 x 100 cm</t>
  </si>
  <si>
    <t>Tableau blanc, émaillé, magnétique, pour montage mural, convient pour feutres, avec auget porte-accessoires : ±150 × 100 cm</t>
  </si>
  <si>
    <t>Wit bord, geëmailleerd, magnetisch, voor wandmontage, geschikt voor viltstiften, met bakje: +/- 180 x 120 cm</t>
  </si>
  <si>
    <t>Tableau blanc, émaillé, magnétique, pour montage mural, convient pour feutres, avec auget porte-accessoires : ±180 × 120 cm</t>
  </si>
  <si>
    <t>Wit bord, magnetisch, geëmailleerd, voor wandmontage, geschikt voor viltstiften, met bakje: +/- 90 x 60 cm +- 10 cm</t>
  </si>
  <si>
    <t>Tableau blanc, magnétique, émaillé, pour montage mural, convient pour feutres, avec auget porte-accessoires : ±90 × 60 cm × ±10 cm</t>
  </si>
  <si>
    <t>Wit bord, magnetisch, geëmailleerd, voor wandmontage, geschikt voor viltstiften, met bakje: +/- 120 x 80 cm +-10 cm</t>
  </si>
  <si>
    <t>Tableau blanc, magnétique, émaillé, pour montage mural, convient pour feutres, avec auget porte-accessoires : ±120 × 80 cm × ±10 cm</t>
  </si>
  <si>
    <t>Wit bord, magnetisch, geëmailleerd, voor wandmontage, geschikt voor viltstiften, met bakje, drieluik: geopend +/- 240 x 90 cm +- 10 cm</t>
  </si>
  <si>
    <t>Tableau blanc, magnétique, émaillé, pour montage mural, convient pour feutres, avec auget porte-accessoires , triptyque : ouvert ±240 × 90 cm ±10 cm</t>
  </si>
  <si>
    <t>Bord in kurk: +/- 90 x 60 cm +- 10 cm</t>
  </si>
  <si>
    <t>Tableau de liège : ±90 × 60 cm × ±10 cm</t>
  </si>
  <si>
    <t>Bord in kurk: +/- 120 x 90 cm +- 10 cm</t>
  </si>
  <si>
    <t>Tableau de liège : ±120 × 90 cm × ±10 cm</t>
  </si>
  <si>
    <t>mobiel whiteboard, kantelbaar, 120 x 150 cm</t>
  </si>
  <si>
    <t>weekplanner 90x60cm</t>
  </si>
  <si>
    <t>tableau de planification 90x60cm</t>
  </si>
  <si>
    <t>planningset voor whiteboard</t>
  </si>
  <si>
    <t>kit de planification pour tableau planificateur</t>
  </si>
  <si>
    <t>CORRECTORARTIKELEN + LIJM EN KLEEFSTOFFEN</t>
  </si>
  <si>
    <t>ARTICLES DE CORRECTION + COLLES ET ADHESIFS</t>
  </si>
  <si>
    <t>Lijmstift - 20 g - op basis van water zonder oplosmiddel, gedeeltelijk uit gerecycleerde materialen</t>
  </si>
  <si>
    <t>Bâton de colle – 20 g – à base d’eau sans solvant, en partie à partir de matériaux recyclés</t>
  </si>
  <si>
    <t>Kleefbandhouder met metalen mes (voor kantoor)</t>
  </si>
  <si>
    <t>Support de ruban adhésif à lame métallique (pour le bureau)</t>
  </si>
  <si>
    <t>Doorzichtige kleefband, +/- 19 mm x 33 m voor voormelde houder - zonder oplosmiddel, De kern bestaat uit niet-gebleekt, gerecycleerd karton en 100 gerecycleerd plastic</t>
  </si>
  <si>
    <t>Ruban adhésif transparent, ±19 mm × 33 m pour le support mentionné ci-dessus – sans solvant. Le cœur se compose de carton non blanchi, de carton recyclé et de 100 % de plastiques recyclés</t>
  </si>
  <si>
    <t>Ruban adhésif d’emballage transparent de 50 mm – en polypropylène. Le cœur est constitué de carton non blanchi recyclé et de 100 % de plastiques recyclés</t>
  </si>
  <si>
    <t>Kleefbandhouder voor voormelde verpakkingskleefband</t>
  </si>
  <si>
    <t>Support de ruban adhésif pour le ruban adhésif d’emballage mentionné ci-dessus.</t>
  </si>
  <si>
    <t>DIVERSEN</t>
  </si>
  <si>
    <t>DIVERS</t>
  </si>
  <si>
    <t>DYMO D1 labeltape Zwart op geel - 12 mm x 7 m</t>
  </si>
  <si>
    <t>Ruban d’étiquettes DYMO D1 noir sur jaune – 12 mm × 7 m</t>
  </si>
  <si>
    <t>Muismat schuim</t>
  </si>
  <si>
    <t xml:space="preserve">coussin gel repose poignet </t>
  </si>
  <si>
    <t>CR2016 lithium knoopcelbatterij</t>
  </si>
  <si>
    <t>pile lithium CR2016</t>
  </si>
  <si>
    <t>Standaard voetsteun, 100% gerecycleerd plastic</t>
  </si>
  <si>
    <t>Repose-pieds standard, 100% plastic recyclé</t>
  </si>
  <si>
    <t>Dunne elastiek, afmetingen: - +/- 2 x 120 mm - 80% crêpe - min. 75% rubber (doos van 100 g)</t>
  </si>
  <si>
    <t>Élastique fin, dimensions : – ±2 × 120 mm – 80 % crêpe – min. 75 % caoutchouc (boîte de 100 g)</t>
  </si>
  <si>
    <t>Brede elastiek, afmetingen: - +/- 5 x 120 mm - 80% crêpe - min. 75% rubber (doos van 100 g)</t>
  </si>
  <si>
    <t>Élastique large, dimensions : – ±5 × 120 mm – 80 % crêpe – min. 75 % caoutchouc (boîte de 100 g)</t>
  </si>
  <si>
    <t>Brede elastiek, afmetingen: - +/- 5 x 150 mm - 80% crêpe - min. 75% rubber (doos van 500g)</t>
  </si>
  <si>
    <t>Élastique large, dimensions : – ±5 × 150 mm – 80 % crêpe – min. 75 % caoutchouc (boîte de 500 g)</t>
  </si>
  <si>
    <t>Oplaadbare batterij, AA, Li-ion</t>
  </si>
  <si>
    <t>Pile rechargeable, AA, Li-ion</t>
  </si>
  <si>
    <t>Oplaadbare batterij, AAA, Li-ion</t>
  </si>
  <si>
    <t>Pile rechargeable, AAA, Li-ion</t>
  </si>
  <si>
    <t>Oplaadbare batterij, 9 V, Li-ion</t>
  </si>
  <si>
    <t>Pile rechargeable, 9 V, Li-ion</t>
  </si>
  <si>
    <t>Oplaadbare batterij, C, Li-ion</t>
  </si>
  <si>
    <t>Pile rechargeable, C, Li-ion</t>
  </si>
  <si>
    <t>Oplaadbare batterij, D, Li-ion</t>
  </si>
  <si>
    <t>Pile rechargeable, D, Li-ion</t>
  </si>
  <si>
    <t>Snellader voor AA en AAA batterijen</t>
  </si>
  <si>
    <t>Chargeur haute vitesse pour piles AA et AAA</t>
  </si>
  <si>
    <t>Universele batterijlader - 5 types</t>
  </si>
  <si>
    <t>Chargeur universel de piles – 5 types</t>
  </si>
  <si>
    <t>Magneten voor magneetbord (diameter 27 mm)</t>
  </si>
  <si>
    <t>Aimants pour tableau magnétique (diamètre 27 mm)</t>
  </si>
  <si>
    <t>Magneetbordwisser voor wit bord, +/- 11,5 x 3,5 cm</t>
  </si>
  <si>
    <t>Brosse magnétique pour tableau blanc, ±11,5 × 3,5 cm</t>
  </si>
  <si>
    <t>Blauwe Magneten voor magneetbord (diameter 10 mm)</t>
  </si>
  <si>
    <t>Aimants bleus pour tableau magnétique (diamètre 10 mm)</t>
  </si>
  <si>
    <t>Witte Magneten voor magneetbord (diameter 10 mm)</t>
  </si>
  <si>
    <t>Aimants blancs pour tableau magnétique (diamètre 10 mm)</t>
  </si>
  <si>
    <t>Rol kaftpapier, +/- 1 m x 10 m, bruin</t>
  </si>
  <si>
    <t>Rouleau de papier de couverture, ±1 m × 10 m, brun</t>
  </si>
  <si>
    <t>Noppenfolie op rol, +/- 100 x 1 m</t>
  </si>
  <si>
    <t>Rouleau de film à bulles d’air, ±100 × 1 m</t>
  </si>
  <si>
    <t>Rekentoestel voor kantoorgebruik, 12 cijfers, op zonne-energie, groot formaat</t>
  </si>
  <si>
    <t>Calculatrice de bureau, 12 chiffres, solaire, grand format</t>
  </si>
  <si>
    <t>Zakrekentoestel, op zonne-energie, minimum 10 cijfers</t>
  </si>
  <si>
    <t>Calculatrice, solaire, minimum 10 chiffres</t>
  </si>
  <si>
    <t>Papierversnipperaar, 8 vellen</t>
  </si>
  <si>
    <t>Destructeur de papier, 8 feuilles</t>
  </si>
  <si>
    <t>Draagbare labelprinter, type DYMO 280</t>
  </si>
  <si>
    <t>Imprimante portable pour étiquettes type DYMO 280</t>
  </si>
  <si>
    <t>Plastificeerapparaat - formaat A5 - A4 - A3 - +/- 250 micron</t>
  </si>
  <si>
    <t>Plastifieuse – format A5 – A4 – A3 – A3 – ±250 microns</t>
  </si>
  <si>
    <t>Magnetisch bakje, wit</t>
  </si>
  <si>
    <t>Petit bac magnétique, blanc</t>
  </si>
  <si>
    <t>DYMO D1 labeltape Zwart op wit - 12 mm x 7 m</t>
  </si>
  <si>
    <t>Ruban d’étiquettes DYMO D1 noir sur blanc – 12 mm × 7 m</t>
  </si>
  <si>
    <t>badgehouder 54x85mm</t>
  </si>
  <si>
    <t>étui pour badge 54x85mm</t>
  </si>
  <si>
    <t>Afrolmechanisme met textielkoord</t>
  </si>
  <si>
    <t>Mécanisme sans déroulement avec cordon textile</t>
  </si>
  <si>
    <t>Afrolmechanisme</t>
  </si>
  <si>
    <t xml:space="preserve">Mécanisme de déroulement </t>
  </si>
  <si>
    <t>Textielkoord Zwart</t>
  </si>
  <si>
    <t>Cordon textile Noir</t>
  </si>
  <si>
    <t>réhausseur d'écran</t>
  </si>
  <si>
    <t>Ultra Lithium CR2 fotobatterij</t>
  </si>
  <si>
    <t>pile CR2 lithium</t>
  </si>
  <si>
    <t>CR2032 lithium knoopcelbatterij</t>
  </si>
  <si>
    <t>pile lithium CR2032</t>
  </si>
  <si>
    <t>soepele kader, magnetische voorzijde, A4</t>
  </si>
  <si>
    <t>cadre souple façade magnétique  A4</t>
  </si>
  <si>
    <t>zilveroxide knoopcelbatterij SR44</t>
  </si>
  <si>
    <t>Pile bouton oxyde d’argent SR44</t>
  </si>
  <si>
    <t>DYMO D1 labeltape Zwart op rood - 12 mm x 7 m</t>
  </si>
  <si>
    <t>Ruban d’étiquettes DYMO D1 noir sur rouge – 12 mm × 7 m</t>
  </si>
  <si>
    <t>DYMO D1 labeltape Zwart op transparent - 9mm x 7 m</t>
  </si>
  <si>
    <t>Ruban d’étiquettes DYMO D1 noir sur transparent – 9 mm × 7 m</t>
  </si>
  <si>
    <t>DYMO D1 labeltape Zwart op wit - 9 mm x 7 m</t>
  </si>
  <si>
    <t>Ruban d’étiquettes DYMO D1 noir sur blanc – 9 mm × 7 m</t>
  </si>
  <si>
    <t>DYMO D1 labeltape Zwart op wit - 6 mm x 7 m</t>
  </si>
  <si>
    <t>Ruban d’étiquettes DYMO D1 noir sur blanc – 6 mm × 7 m</t>
  </si>
  <si>
    <t>papierversnipperaar +/- 300vel</t>
  </si>
  <si>
    <t>destructeur de papier+/-300 feuilles</t>
  </si>
  <si>
    <t>Spray pour le nettoyage d'écrans d’ordinateur</t>
  </si>
  <si>
    <t>Pile alcaline 9V 6LR61</t>
  </si>
  <si>
    <t>clicklijst voor posters, ronde hoeken, A3</t>
  </si>
  <si>
    <t>PQ100 A3 kaft, doorzichtig pvc, +/- 300 MICRON</t>
  </si>
  <si>
    <t>Couverture PQ100 A3, en PVC transparent, ±300 microns</t>
  </si>
  <si>
    <t>BT100 pochetten voor warme plastificatie, A3, 250 MICRON +/- 2 x 125 MICRON, glanzend</t>
  </si>
  <si>
    <t>Pochette BT100 pour plastification à chaud, A3, 250 microns ±2 × 125 microns, brillant</t>
  </si>
  <si>
    <t>Pochetten voor plastificatie, A6, +/- 250 MICRON, BT100</t>
  </si>
  <si>
    <t>Pochette pour plastification, A6, ±250 microns, BT100</t>
  </si>
  <si>
    <t xml:space="preserve">Pochettes de plastification brillant - A3 150 micron </t>
  </si>
  <si>
    <t xml:space="preserve">Pochettes de plastification brillant - A4 150 micron </t>
  </si>
  <si>
    <t>Kaft om in te binden, doorzichtig polypropyleen, +/- 250 micron, PQ 100</t>
  </si>
  <si>
    <t>Couverture de reliure, polypropylène transparent, ±250 microns, PQ 100</t>
  </si>
  <si>
    <t>plastic inbindruggen, 8 mm</t>
  </si>
  <si>
    <t>baguette de reliure 8mm</t>
  </si>
  <si>
    <t>plastic inbindruggen, 10 mm</t>
  </si>
  <si>
    <t>baguette de reliure 10mm</t>
  </si>
  <si>
    <t>plastic inbindruggen, 16 mm</t>
  </si>
  <si>
    <t>baguette de reliure 16mm</t>
  </si>
  <si>
    <t>Etiket cijfers 0-9 25MM</t>
  </si>
  <si>
    <t>numéros adhésifs 0-9 25mm</t>
  </si>
  <si>
    <t>Blocnote, A4, gelijnd, 70 g 100% gerecycleerd en/of duurzame bosbeheer +/- 100 bovenaan gelijmde vellen</t>
  </si>
  <si>
    <t>Blocnote, A4, geruit, 70 g 100% gerecycleerd en/of duurzame bosbeheer+/- 100 bovenaan gelijmde vellen</t>
  </si>
  <si>
    <t>Blocnote, A5, gelijnd, 60 g 100% gerecycleerd en/of duurzame bosbeheer +/- 100 bovenaan geniete vellen</t>
  </si>
  <si>
    <t>Blocnote, A5, geruit, 60 g 100% gerecycleerd en/of duurzame bosbeheer +/- 100 bovenaan geniete vellen</t>
  </si>
  <si>
    <t>Spiraalschrift, A5 - gelijnd - 100% gerecycleerd en/of duurzame bosbeheer papier</t>
  </si>
  <si>
    <t>Spiraalschrift, A5 - geruit - 100% gerecycleerd en/of duurzame bosbeheer&amp; papier</t>
  </si>
  <si>
    <t>Schoolschrift, A5, gelijnd, 80 g - 100% gerecycleerd papier en/of duurzame bosbeheer</t>
  </si>
  <si>
    <t>Post-its - meerkleurig assortiment - , +/- 100 blaadjes,  +/- 2 x 5 cm - 100% gerecycleerd papier en/of duurzame bosbeheer</t>
  </si>
  <si>
    <t>Minipost-its, 100% gerecycleerd en/of duurzame bosbeheer , +/- 38 x 51 mm</t>
  </si>
  <si>
    <t>Post-its - vierkant, +/- 100 blaadjes, 76 x 76 mm, lichtgeel - 100% gerecycleerd papier en/of duurzame bosbeheer</t>
  </si>
  <si>
    <t>Post-its - 100 blaadjes, +/- 127 x 76 mm, lichtgeel - 100% gerecycleerd papier en/of duurzame bosbeheer</t>
  </si>
  <si>
    <t>Schrift met tabbladen en plastic ringen, afneembaar bladen A4 - geruit - 100% gerecycleerd papier en/of duurzame bosbeheer - 60 vellen</t>
  </si>
  <si>
    <t>Blocnote, A7, gelijnd, 60 g 100% gerecycleerd en/of duurzame bosbeheer +/- 100 bovenaan geniete vellen</t>
  </si>
  <si>
    <t xml:space="preserve">Genaaid gebonden register,100 x 160 mm, gelijnd, 96 vellen </t>
  </si>
  <si>
    <t xml:space="preserve">Genaaid gebonden register,100 x 160 mm, geruit, 96 vellen </t>
  </si>
  <si>
    <t>Opbergdoos met vingergat - 8 cm - 100% gerecycleerd karton en/of duurzame bosbeheer</t>
  </si>
  <si>
    <t>Dossiermap met 3 kleppen, groen, +/- 280 g, A4 - karton - met gedrukte lijnen - 100% gerecycleerd karton en/of duurzame bosbeheer</t>
  </si>
  <si>
    <t>Dossiermap met 3 kleppen, vaalgeel, +/- 280 g, A4 - karton - met gedrukte lijnen - 100% gerecycleerd karton en/of duurzame bosbeheer</t>
  </si>
  <si>
    <t>Dossiermap met 3 kleppen, grijs, +/- 280 g, A4 - karton - met gedrukte lijnen - 100% gerecycleerd karton en/of duurzame bosbeheer</t>
  </si>
  <si>
    <t>Dossiermap met 3 kleppen, blauw, +/- 280 g, A4 - karton - met elastiek - 100% gerecycleerd karton en/of duurzame bosbeheer</t>
  </si>
  <si>
    <t>Dossiermap met 3 kleppen, rood, +/- 280 g, A4 - karton - met elastiek - 100% gerecycleerd karton en/of duurzame bosbeheer</t>
  </si>
  <si>
    <t>Dossiermap met 3 kleppen, groen, +/- 280 g, A4 - karton - met elastiek - 100% gerecycleerd karton en/of duurzame bosbeheer</t>
  </si>
  <si>
    <t>Dossiermap met 3 kleppen, paars, +/- 280 g, A4 - karton - met elastiek - 100% gerecycleerd karton en/of duurzame bosbeheer</t>
  </si>
  <si>
    <t>Dossiermap met 3 kleppen, geel, +/- 280 g, A4 - karton - met elastiek - 100% gerecycleerd karton en/of duurzame bosbeheer</t>
  </si>
  <si>
    <t>Dossiermap met 3 kleppen, oranje, +/- 280 g, A4 - karton - met elastiek - 100% gerecycleerd karton en/of duurzame bosbeheer</t>
  </si>
  <si>
    <t>Snelhechtmap - blauw - 100% gerecycleerd karton en/of duurzame bosbeheer</t>
  </si>
  <si>
    <t>Snelhechtmap - geel- 100% gerecycleerd karton, en/of duurzame bosbeheer</t>
  </si>
  <si>
    <t>Snelhechtmap - groen - 100% gerecycleerd karton en/of duurzame bosbeheer</t>
  </si>
  <si>
    <t>Snelhechtmap - rood - 100% gerecycleerd karton en/of duurzame bosbeheer</t>
  </si>
  <si>
    <t>Kartonnen map, groen, A4, met doorzichtig venster, +/- 18 x 10 cm, 140 g - 100% gerecycleerd karton en/of duurzame bosbeheer</t>
  </si>
  <si>
    <t>Kartonnen map, wit, A4, met doorzichtig venster, +/- 18 x 10 cm, 140 g - 100% gerecycleerd karton en/of duurzame bosbeheer</t>
  </si>
  <si>
    <t>Ordner met hefboom, 100% gerecycleerd bruin karton - rug 4 cm - RADO sleuven - 100% gerecycleerd karton en/of duurzame bosbeheer</t>
  </si>
  <si>
    <t>Ordner met hefboom, 100% gerecycleerd bruin karton - rug 8 cm - RADO sleuven - 100% gerecycleerd karton en/of duurzame bosbeheer</t>
  </si>
  <si>
    <t>Rechthoekige tabbladen, karton, geel, +/-200 g - +/- 22,5 x 10,5 cm - 100% gerecycleerd karton en/of duurzame bosbeheer</t>
  </si>
  <si>
    <t>Eenvoudige tabbladen, 12 tabs, A4 - +/- 160 g - 100% gerecycleerd karton en/of duurzame bosbeheer</t>
  </si>
  <si>
    <t>Alfabetische tabbladen A-Z, karton, A4 - 100% gerecycleerd karton en/of duurzame bosbeheer</t>
  </si>
  <si>
    <t>Vloeiboek, karton, +/- 20 compartimenten - karton 900 g + binnenvloeiblad - 100% gerecycleerd karton en/of duurzame bosbeheer</t>
  </si>
  <si>
    <t>Sorteermap, , 100% gerecycleerd materiaalen/of duurzame bosbeheer , 7 compartimenten - uitrekbaar - +/- 24 x 31,5 cm</t>
  </si>
  <si>
    <t>Hangmap uit 100% gerecycleerd karton en/of duurzame bosbeheer  lateraal oranje v-bodem, - A4</t>
  </si>
  <si>
    <t>Hangmap uit 100% gerecycleerd karton en/of duurzame bosbeheer lateraal oranje  bodem 15mm, - A4</t>
  </si>
  <si>
    <t>Hangmap uit 100% gerecycleerd karton en/of duurzame bosbeheer lateraal oranje  bodem 30mm- A4</t>
  </si>
  <si>
    <t>Hangmap uit 100% gerecycleerd karton en/of duurzame bosbeheer  lateraal oranje  bodem 50mm, - A4</t>
  </si>
  <si>
    <t>Sorteermap, rood , 100% gerecycleerd materiaal en/of duurzame bosbeheer, 12 compartimenten - uitrekbaar - +/- 24 x 31,5 cm</t>
  </si>
  <si>
    <t>Sorteermap met 32 vakken, karton, zwart, 100% gerecycleerd materiaal en/of duurzame bosbeheer</t>
  </si>
  <si>
    <t>Markeerstift, blauw, uitwisbaar, ronde punt, +/- 1,5 mm - xyleen- en tolueenvrije inkt, min. 50% gerecycleerd materiaal</t>
  </si>
  <si>
    <t>Markeerstift, zwart, uitwisbaar, ronde punt, +/- 1,5 mm - xyleen- en tolueenvrije inkt, min. 50% gerecycleerd materiaal</t>
  </si>
  <si>
    <t>Markeerstift, rood, uitwisbaar, ronde punt, +/- 1,5 mm - xyleen- en tolueenvrije inkt min. 50% gerecycleerd materiaal</t>
  </si>
  <si>
    <t>Markeerstift, groen, uitwisbaar, ronde punt, +/- 1,5 mm - xyleen- en tolueenvrije inkt, min. 50% gerecycleerd materiaal</t>
  </si>
  <si>
    <t>Markeerstift, blauw, onuitwisbaar, ronde punt, +/- 1,5 mm - xyleen- en tolueenvrije inkt min. 50% gerecycleerd materiaal</t>
  </si>
  <si>
    <t>Markeerstift, zwart, onuitwisbaar, ronde punt, +/- 1,5 mm - xyleen- en tolueenvrije inkt, min. 50% gerecycleerd materiaal</t>
  </si>
  <si>
    <t>Markeerstift, rood, onuitwisbaar, ronde punt, +/- 1,5 mm - xyleen- en tolueenvrije inkt, min 50% gerecycleerd materiaal</t>
  </si>
  <si>
    <t>Markeerstift, groen, onuitwisbaar, ronde punt, +/- 1,5 mm - xyleen- en tolueenvrije inkt min. 50% gerecycleerd materiaal</t>
  </si>
  <si>
    <t>Balpen, fijn schrift, blauw, intrekbaar - met milieulabel NF Environnement of gelijkwaardig - voor meer dan 60% uit gerecycleerd materiaal</t>
  </si>
  <si>
    <t>Balpen, fijn schrift, zwart, intrekbaar - met milieulabel NF Environnement of gelijkwaardig - voor meer dan 60% uit gerecycleerd materiaal</t>
  </si>
  <si>
    <t>Balpen, fijn schrift, groen, intrekbaar - met milieulabel NF Environnement of gelijkwaardig - voor meer dan 60% uit gerecycleerd materiaal</t>
  </si>
  <si>
    <t>Vulpen voor volwassenen</t>
  </si>
  <si>
    <t xml:space="preserve">Nietjes Bostich 11/6 ( doos van 1050 stuks) compatibel met huidig model </t>
  </si>
  <si>
    <t>Navulling van 100% gerecycleerd papier en/of uit duurzaam bosbeheer voor flip-overbord (Compatibel met post 140)</t>
  </si>
  <si>
    <t>Correctieroller op waterbasis, zonder oplosmiddelen, min. 50% gerecycleerd materiaal</t>
  </si>
  <si>
    <t>Doorzichtige verpakkingskleefband 50 mm - in polypropyleen, De kern bestaat uit niet-gebleekt, gerecycleerd karton en 100 % gerecycleerd plastic</t>
  </si>
  <si>
    <t>Schermverhoger</t>
  </si>
  <si>
    <t xml:space="preserve">Schokbestendige zakomslagen, +/- 150 x 210 mm, BT100, 100% gerecycleerd of/en duurzaam bosbeheer </t>
  </si>
  <si>
    <t>Spray voor reiniging van computerschermen, 250 ml</t>
  </si>
  <si>
    <t xml:space="preserve">6LR61 alkaline batterij, 9V </t>
  </si>
  <si>
    <t xml:space="preserve">lamineerhoezen voor warmlaminatie, A4, 150 micron, glazend </t>
  </si>
  <si>
    <t>multifunctionele etiketten, 105 x 70 mm, gerecycleerd of duurzame bosbheer</t>
  </si>
  <si>
    <t xml:space="preserve">multifunctionele etiketten, 210 x 148 mm, gerecycleerd of duurzame bosbheer </t>
  </si>
  <si>
    <t xml:space="preserve">multifunctionele etiketten, 105 x 42,3 mm, gerecycleerd of duurzame bosbheer </t>
  </si>
  <si>
    <t xml:space="preserve">multifunctionele witte etiketten, 48,5 x 16,9 mm, gerecycleerd of duurzame bosbheer </t>
  </si>
  <si>
    <t xml:space="preserve">Etiket badges textiel -10 badges per blad - 25 bladen per pak, gerecycleerd of duurzame bosbheer </t>
  </si>
  <si>
    <t>multifunctionele etiketten, 210 x 297 mm, gerecycleerd of duurzame bosbheer</t>
  </si>
  <si>
    <t xml:space="preserve">multifunctionele etiketten, 70 x 37 mm, gerecycleerd of duurzame bosbheer </t>
  </si>
  <si>
    <t>0000004</t>
  </si>
  <si>
    <t>Ordernummer</t>
  </si>
  <si>
    <t>Omschrijving</t>
  </si>
  <si>
    <t>Stuk</t>
  </si>
  <si>
    <t>Totaal excl. btw :</t>
  </si>
  <si>
    <t>Btw 21% :</t>
  </si>
  <si>
    <t>Totaal incl. btw :</t>
  </si>
  <si>
    <t>EHP in cijfers</t>
  </si>
  <si>
    <t>Totaal excl. Btw</t>
  </si>
  <si>
    <t>Btw %</t>
  </si>
  <si>
    <t>Conditionering</t>
  </si>
  <si>
    <t>Referenties leverancier</t>
  </si>
  <si>
    <t>Pak van 10 stuks</t>
  </si>
  <si>
    <t>Pak van 100 stuks</t>
  </si>
  <si>
    <t>Pak van 25 stuks</t>
  </si>
  <si>
    <t>Pak van 50 stuks</t>
  </si>
  <si>
    <t>Pak van 5 stuks</t>
  </si>
  <si>
    <t>Pak van 6 stuks</t>
  </si>
  <si>
    <t>doos met 5000 stuks</t>
  </si>
  <si>
    <t>doos met 1000 stuks</t>
  </si>
  <si>
    <t>doos van 750 stuks</t>
  </si>
  <si>
    <t>doos van 200 stuks</t>
  </si>
  <si>
    <t>doos van 5000 stuks</t>
  </si>
  <si>
    <t>doos van 1050 stuks</t>
  </si>
  <si>
    <t>doos van 1000 stuks</t>
  </si>
  <si>
    <t>doos van 100g</t>
  </si>
  <si>
    <t>doos van 500g</t>
  </si>
  <si>
    <t>Pak van 4</t>
  </si>
  <si>
    <t>Doos met 6 stuks</t>
  </si>
  <si>
    <t>Pak van 2</t>
  </si>
  <si>
    <t>Pak van 150 stuks</t>
  </si>
  <si>
    <t>Pak van 25 vellen</t>
  </si>
  <si>
    <r>
      <t>N</t>
    </r>
    <r>
      <rPr>
        <b/>
        <vertAlign val="superscript"/>
        <sz val="8"/>
        <rFont val="Verdana"/>
        <family val="2"/>
      </rPr>
      <t>o</t>
    </r>
    <r>
      <rPr>
        <b/>
        <sz val="8"/>
        <rFont val="Verdana"/>
        <family val="2"/>
      </rPr>
      <t> d’ordre</t>
    </r>
  </si>
  <si>
    <t>Description</t>
  </si>
  <si>
    <t>QP</t>
  </si>
  <si>
    <t>Total hors TVA :</t>
  </si>
  <si>
    <t xml:space="preserve"> TVA 21 % :</t>
  </si>
  <si>
    <t>Total TVA comprise :</t>
  </si>
  <si>
    <t>Pièce</t>
  </si>
  <si>
    <t>EHP en chiffres</t>
  </si>
  <si>
    <t>Total htva</t>
  </si>
  <si>
    <t>TVA %</t>
  </si>
  <si>
    <t>Reprise Article</t>
  </si>
  <si>
    <t>Conditionnement</t>
  </si>
  <si>
    <t>Références fournisseur</t>
  </si>
  <si>
    <t>HV 5 jaar</t>
  </si>
  <si>
    <t>Nr. Ultimo</t>
  </si>
  <si>
    <t>QT 5 ans</t>
  </si>
  <si>
    <t>Paquet de 10 pièces</t>
  </si>
  <si>
    <t>Paquet de 100 pièces</t>
  </si>
  <si>
    <t>Paquet de 25 pièces</t>
  </si>
  <si>
    <t>Paquet de 50 pièces</t>
  </si>
  <si>
    <t>Paquet de 5 pièces</t>
  </si>
  <si>
    <t>Paquet de 6 pièces</t>
  </si>
  <si>
    <t>Boite de 5000pièces</t>
  </si>
  <si>
    <t>Boite de 1000pièces</t>
  </si>
  <si>
    <t>Boite de 750pièces</t>
  </si>
  <si>
    <t>Boite de 200pièces</t>
  </si>
  <si>
    <t>Boite de 1050 pièces</t>
  </si>
  <si>
    <t>Boite de 100g</t>
  </si>
  <si>
    <t>Boite de 500g</t>
  </si>
  <si>
    <t>Paquet de 4</t>
  </si>
  <si>
    <t>Paquet de 10</t>
  </si>
  <si>
    <t>Boite de 6 pièces</t>
  </si>
  <si>
    <t>Paquet de 2</t>
  </si>
  <si>
    <t>Paquet de 150 pièces</t>
  </si>
  <si>
    <t>Paquet de 25 feuilles</t>
  </si>
  <si>
    <t>Bloc-notes, A4, ligné, 70 g 100% recyclé et/ou gestion durable des forêts ±100 feuilles collées par le haut</t>
  </si>
  <si>
    <t>Bloc-notes, A4, quadrillé, 70 g 100% recyclé et/ou gestion durable des forêts ±100 feuilles collées par le haut</t>
  </si>
  <si>
    <t>Bloc-notes, A5, ligné, 60 g 100% recyclé et/ou gestion durable des forêts ±100 feuilles agrafées par le haut</t>
  </si>
  <si>
    <t>Bloc-notes, A5, quadrillé, 60 g 100% recyclé et/ou  gestion durable des forêts ±100 feuilles agrafées par le haut</t>
  </si>
  <si>
    <t>Cahier spiralé A5 – ligné – 100 % papier recyclé et/ou gestion durable des forêts</t>
  </si>
  <si>
    <t>Cahier spiralé A5 – quadrillé – 100 % papier recyclé et/ou gestion durable des forêts</t>
  </si>
  <si>
    <t>Cahier d’écolier, A5, ligné, 80 g – 100 % papier recyclé et/ou gestion durable des forêts</t>
  </si>
  <si>
    <t>Post-it – carré, ±100 feuillets, 76 × 76 mm, jaune clair – 100 % papier recyclé et/ou gestion durable des forêts</t>
  </si>
  <si>
    <t>Post-it – assortiment multi couleurs , +/- 100 feuilles, – ±2 × 5 cm – 100 % papier recyclé et/ou gestion durable des forêts</t>
  </si>
  <si>
    <t>Mini Post-it - +/- 38 x 51 mm, 100% récyclé et/ou gestion durable des forêts</t>
  </si>
  <si>
    <t>Post-it – 100 feuillets, +/-127 × 76 mm, jaune clair – 100 % papier recyclé et/ou gestion durable des forêts</t>
  </si>
  <si>
    <t>Cahier avec onglets et anneaux plastique, feuilles détachables A4 – quadrillé – 100 % papier recyclé et/ou gestion durable des forêts- 60 feuilles</t>
  </si>
  <si>
    <t>Bloc-notes, A7, ligné, 60 g 100% recyclé  et/ou gestion durable des forêts±100 feuilles agrafées par le haut</t>
  </si>
  <si>
    <t>Boîte de rangement avec trou d’accès – 8 cm – 100 % carton recyclé et/ou gestion durable des forêts</t>
  </si>
  <si>
    <t>Chemise de classement à 3 rabats, vert, ±280 g, A4 – carton – à lignes imprimées – 100 % carton recycléet/ou gestion durable des forêts</t>
  </si>
  <si>
    <t>Chemise de classement à 3 rabats, chamois, ±280 g, A4 – carton – à lignes imprimées – 100 % carton recyclé et/ou gestion durable des forêts</t>
  </si>
  <si>
    <t>Chemise de classement à 3 rabats, gris, ±280 g, A4 – carton – à lignes imprimées – 100 % carton recyclé et/ou gestion durable des forêts</t>
  </si>
  <si>
    <t>Chemise de classement à 3 rabats, bleu, ±280 g, A4 – carton – avec élastique – 100 % carton recyclé et/ou gestion durable des forêts</t>
  </si>
  <si>
    <t>Chemise de classement à 3 rabats, rouge,  ±280 g, A4 – carton – avec élastique – 100 % carton recyclé et/ou gestion durable des forêts</t>
  </si>
  <si>
    <t>Chemise de classement à 3 rabats, vert, ±280 g, A4 – carton – avec élastique – 100 % carton recyclé et/ou gestion durable des forêts</t>
  </si>
  <si>
    <t>Chemise de classement à 3 rabats, violet, ±280 g, A4 – carton – avec élastique – 100 % carton recyclé et/ou gestion durable des forêts</t>
  </si>
  <si>
    <t>Chemise de classement à 3 rabats, jaune, ±280 g, A4 – carton – avec élastique – 100 % carton recyclé et/ou gestion durable des forêts</t>
  </si>
  <si>
    <t>Chemise de classement à 3 rabats, oranje, ±280 g, A4 – carton – avec élastique – 100 % carton recyclé et/ou gestion durable des forêts</t>
  </si>
  <si>
    <t>Farde à glissière - bleu, 100 % carton recyclé et/ou gestion durable des forêts</t>
  </si>
  <si>
    <t>Farde à glissière, jaune, 100 % carton recyclé et/ou gestion durable des forêts</t>
  </si>
  <si>
    <t>Farde à glissière, vert, 100 % carton recyclé et/ou gestion durable des forêts</t>
  </si>
  <si>
    <t>Farde à glissière, rouge, 100 % carton recyclé et/ou gestion durable des forêts</t>
  </si>
  <si>
    <t>Pochette en carton, vert, A4, avec fenêtre transparente, ±18 × 10 cm, 140 g – 100 % carton recyclé et/ou gestion durable des forêts</t>
  </si>
  <si>
    <t>Pochette en carton, blanc, A4, avec fenêtre transparente, ±18 × 10 cm, 140 g – 100 % carton recyclé et/ou gestion durable des forêts</t>
  </si>
  <si>
    <t>Classeur à levier, 100 % carton brun recyclé – dos 4 cm – fentes RADO – 100 % carton recyclé et/ou gestion durable des forêts</t>
  </si>
  <si>
    <t>Classeur à levier, 100 % carton brun recyclé – dos 8 cm – fentes RADO – 100 % carton recyclé et/ou gestion durable des forêts</t>
  </si>
  <si>
    <t>Onglets rectangulaires, carton, jaune +/- 200 g – ±22,5 × 10,5 cm – 100 % carton recyclé et/ou gestion durable des forêts</t>
  </si>
  <si>
    <t>Onglets simples, 12 onglets, A4 – ±160 g – 100 % carton recyclé, et/ou gestion durable des forêts</t>
  </si>
  <si>
    <t>Onglets alphabétiques A-Z, carton, A4 – 100 % carton recyclé et/ou gestion durable des forêts</t>
  </si>
  <si>
    <t>Parapheur, carton, ±20 compartiments – carton 900 g + feuille buvard intérieure liquide – 100 % carton recyclé et/ou gestion durable des forêts</t>
  </si>
  <si>
    <t>Trieur, 100 % matière recyclée et/ou gestion durable des forêts, 7 compartiments – extensible – ±24 × 31,5 cm</t>
  </si>
  <si>
    <t>Presentatiemap - A4 - +/- 20 pochetten</t>
  </si>
  <si>
    <t>Dossier suspendu en carton 100 % recyclé et/ou gestion durable des forêts, latéral orange fond en « V » – A4</t>
  </si>
  <si>
    <t>Dossier suspendu en carton 100 % recyclé et/ou gestion durable des forêts, latéral orange fond 15mm  – A4</t>
  </si>
  <si>
    <t>Dossier suspendu en carton 100 % recyclé et/ou gestion durable des forêts, latéral orange fond 30mm  – A4</t>
  </si>
  <si>
    <t>Dossier suspendu en carton 100 % recyclé et/ou gestion durable des forêts latéral orange fond 50mm  – A4</t>
  </si>
  <si>
    <t>Trieur, rouge, 100 % matière recyclée et/ou gestion durable des forêts, 12 compartiments – extensible – ±24 × 31,5 cm</t>
  </si>
  <si>
    <t>Trieur à 32 compartiments, carton, noir, 100% matière recyclée et/ou gestion durable des forêts</t>
  </si>
  <si>
    <t>Surligneur, bleu, effaçable, pointe arrondie, ±1,5 mm – encre sans xylène ni toluène, min. 50 % matériaux recyclés</t>
  </si>
  <si>
    <t>Surligneur, noir, effaçable, pointe arrondie, ±1,5 mm – encre sans xylène ni toluène, min. 50% materiaux recyclés</t>
  </si>
  <si>
    <t>Surligneur, rouge, effaçable, pointe arrondie, ±1,5 mm – encre sans xylène ni toluène, min. 50 % matériaux recyclés</t>
  </si>
  <si>
    <t>Surligneur, vert, effaçable, pointe arrondie, ±1,5 mm – encre sans xylène ni toluène, min. 50% matériaux recyclés</t>
  </si>
  <si>
    <t>Surligneur, bleu, indélébile, pointe arrondie, ±1,5 mm – encre sans xylène ni toluène, min. 50 % matériaux recyclés</t>
  </si>
  <si>
    <t>Surligneur, noir, indélébile, pointe arrondie, ±1,5 mm – encre sans xylène ni toluène, min. 50% matériaux recyclés</t>
  </si>
  <si>
    <t>Surligneur, rouge, indélébile, pointe arrondie, ±1,5 mm – encre sans xylène ni toluène, min. 50 % matériaux recyclés</t>
  </si>
  <si>
    <t>Surligneur, vert, indélébile, pointe arrondie, ±1,5 mm – encre sans xylène ni toluène, min 50 % matériaux recyclés</t>
  </si>
  <si>
    <t>Stylo à bille, pointe fine, bleu, rétractable – avec label environnemental NF Environnement ou équivalent - plus de 60% de matériaux recyclés</t>
  </si>
  <si>
    <t>Stylo à bille, pointe fine, noir, rétractable – avec label environnemental NF Environnement ou équivalent – plus de 60% de matériaux recyclés</t>
  </si>
  <si>
    <t>Stylo à bille, pointe fine, vert, rétractable – avec label environnemental NF Environnement ou équivalent- plus de 60% de matériaux recyclés</t>
  </si>
  <si>
    <t>trombone, nickelé, ronde,  50mm</t>
  </si>
  <si>
    <t>spray nettoyant pour tableau blanc</t>
  </si>
  <si>
    <t>starterkit whiteboard cleaning: Inhoud:
- 4 whiteboard markers
- 1 stiftenhouder
- 1 kleine bordenwisser
- 10 navuldoekjes voor bordenwisser
- reinigingsvloeistof
- 10 magneten met een diameter van 30 mm</t>
  </si>
  <si>
    <t xml:space="preserve">kit de démarrage pour tableau blanc:
Contenance :
- 4 marqueurs pour tableau blanc
- 1 porte-marqueurs magnétique
- 1 petit effaceur à sec
- 10 chiffons de rechange pour l’effaceur
- liquide de nettoyage
- 10 aimants d'un diamètre de 30 mm
</t>
  </si>
  <si>
    <t>Recharge de papier 100 % recyclé et/ou gestion durable des forêts  pour chevalet de conférence (Compatible avec poste 140)</t>
  </si>
  <si>
    <t>tableau blanc mobil,  rotatif 120 x 150cm</t>
  </si>
  <si>
    <t>Dérouleur de correction à base d’eau, sans solvant, min. 50 % de matériaux recyclés</t>
  </si>
  <si>
    <t>Enveloppes résistantes aux chocs, ±150 × 210 mm, BT100, 100% recyclé ou/et gestion durable des forêts</t>
  </si>
  <si>
    <t>Schokbestendige zakomslagen, +/- 270 x 360 mm, BT100, 100% gerecycleerd of/en duurzaam bosbeheer</t>
  </si>
  <si>
    <t>Enveloppes résistantes aux chocs, ±270 × 360 mm, BT100, 100% recyclé ou/et gestion durable des forêts</t>
  </si>
  <si>
    <t>cadre clipsé pour poster, coins ronds, A3</t>
  </si>
  <si>
    <t>Etiquettes polyvalentes - 8 par page 105 x 70mm, recyclé ou gestion durable des forêts</t>
  </si>
  <si>
    <t>Etiquettes polyvalentes - 2 par page - 210 x 148 mm, recyclé ou gestion durable des forêts</t>
  </si>
  <si>
    <t>Etiquettes polyvalentes - 14 par page - 105 x 42 mm, recyclé ou gestion durable des forêts</t>
  </si>
  <si>
    <t>Etiquettes polyvalentes - 64 par page - 48,5 x 16,9 mm, recyclé ou gestion durable des forêts</t>
  </si>
  <si>
    <t>Badges étiquettes textiles – 10 badges par feuille – 25 feuilles par paquet, recyclé ou gestion durable des forêts</t>
  </si>
  <si>
    <t>Etiquettes blanches pour imprimante 210x297mm, recyclé ou gestion durable des forêts</t>
  </si>
  <si>
    <t>Etiquettes polyvalentes - 24 par page - 70 x 37 mm, recyclé ou gestion durable des forêts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</si>
</sst>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_-&quot;€ &quot;#,##0.00;[Red]_-&quot;€ -&quot;#,##0.00"/>
    <numFmt numFmtId="165" formatCode="0\ %"/>
    <numFmt numFmtId="166" formatCode="&quot;€ &quot;#,##0.00000"/>
    <numFmt numFmtId="167" formatCode="#,##0.00\ &quot;€&quot;"/>
    <numFmt numFmtId="168" formatCode="_ [$€-413]\ * #,##0.00_ ;_ [$€-413]\ * \-#,##0.00_ ;_ [$€-413]\ * &quot;-&quot;??_ ;_ @_ "/>
  </numFmts>
  <fonts count="18" x14ac:knownFonts="1">
    <font>
      <sz val="11"/>
      <color theme="1"/>
      <name val="Calibri"/>
      <family val="2"/>
      <scheme val="minor"/>
    </font>
    <font>
      <sz val="11"/>
      <color theme="1"/>
      <name val="Calibri"/>
      <family val="2"/>
      <scheme val="minor"/>
    </font>
    <font>
      <b/>
      <sz val="8"/>
      <name val="Verdana"/>
      <family val="2"/>
    </font>
    <font>
      <b/>
      <vertAlign val="superscript"/>
      <sz val="8"/>
      <name val="Verdana"/>
      <family val="2"/>
    </font>
    <font>
      <b/>
      <sz val="8"/>
      <color indexed="12"/>
      <name val="Verdana"/>
      <family val="2"/>
    </font>
    <font>
      <sz val="8"/>
      <name val="Verdana"/>
      <family val="2"/>
    </font>
    <font>
      <sz val="8"/>
      <color indexed="12"/>
      <name val="Verdana"/>
      <family val="2"/>
    </font>
    <font>
      <sz val="8"/>
      <color indexed="9"/>
      <name val="Roboto"/>
    </font>
    <font>
      <sz val="8"/>
      <name val="Roboto"/>
    </font>
    <font>
      <b/>
      <sz val="8"/>
      <name val="Verdana"/>
      <family val="2"/>
      <charset val="1"/>
    </font>
    <font>
      <sz val="8"/>
      <name val="Verdana"/>
      <family val="2"/>
      <charset val="1"/>
    </font>
    <font>
      <sz val="8"/>
      <color rgb="FF2D2E88"/>
      <name val="Arial"/>
      <family val="2"/>
    </font>
    <font>
      <b/>
      <sz val="10"/>
      <name val="Verdana"/>
      <family val="2"/>
    </font>
    <font>
      <b/>
      <sz val="9"/>
      <name val="Verdana"/>
      <family val="2"/>
    </font>
    <font>
      <b/>
      <sz val="11"/>
      <color theme="1"/>
      <name val="Calibri"/>
      <family val="2"/>
      <scheme val="minor"/>
    </font>
    <font>
      <sz val="11"/>
      <color rgb="FFFF0000"/>
      <name val="Calibri"/>
      <family val="2"/>
      <scheme val="minor"/>
    </font>
    <font>
      <sz val="8"/>
      <color rgb="FFFF0000"/>
      <name val="Verdana"/>
      <family val="2"/>
    </font>
    <font>
      <sz val="8"/>
      <color rgb="FF00B050"/>
      <name val="Verdana"/>
      <family val="2"/>
    </font>
  </fonts>
  <fills count="10">
    <fill>
      <patternFill patternType="none"/>
    </fill>
    <fill>
      <patternFill patternType="gray125"/>
    </fill>
    <fill>
      <patternFill patternType="solid">
        <fgColor indexed="23"/>
        <bgColor indexed="55"/>
      </patternFill>
    </fill>
    <fill>
      <patternFill patternType="solid">
        <fgColor indexed="22"/>
        <bgColor indexed="31"/>
      </patternFill>
    </fill>
    <fill>
      <patternFill patternType="solid">
        <fgColor rgb="FFF6F6F6"/>
        <bgColor indexed="64"/>
      </patternFill>
    </fill>
    <fill>
      <patternFill patternType="solid">
        <fgColor rgb="FFFF0000"/>
        <bgColor indexed="64"/>
      </patternFill>
    </fill>
    <fill>
      <patternFill patternType="solid">
        <fgColor theme="0" tint="-0.249977111117893"/>
        <bgColor indexed="55"/>
      </patternFill>
    </fill>
    <fill>
      <patternFill patternType="solid">
        <fgColor theme="2" tint="-9.9978637043366805E-2"/>
        <bgColor indexed="31"/>
      </patternFill>
    </fill>
    <fill>
      <patternFill patternType="solid">
        <fgColor rgb="FF808080"/>
        <bgColor rgb="FF969696"/>
      </patternFill>
    </fill>
    <fill>
      <patternFill patternType="solid">
        <fgColor theme="0" tint="-0.249977111117893"/>
        <bgColor indexed="31"/>
      </patternFill>
    </fill>
  </fills>
  <borders count="28">
    <border>
      <left/>
      <right/>
      <top/>
      <bottom/>
      <diagonal/>
    </border>
    <border>
      <left style="thick">
        <color indexed="63"/>
      </left>
      <right/>
      <top/>
      <bottom style="thick">
        <color indexed="63"/>
      </bottom>
      <diagonal/>
    </border>
    <border>
      <left/>
      <right/>
      <top/>
      <bottom style="thick">
        <color indexed="63"/>
      </bottom>
      <diagonal/>
    </border>
    <border>
      <left style="thick">
        <color indexed="63"/>
      </left>
      <right/>
      <top style="thick">
        <color indexed="63"/>
      </top>
      <bottom style="thick">
        <color indexed="63"/>
      </bottom>
      <diagonal/>
    </border>
    <border>
      <left/>
      <right/>
      <top style="thick">
        <color indexed="63"/>
      </top>
      <bottom style="thick">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8"/>
      </left>
      <right style="thin">
        <color indexed="63"/>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3"/>
      </right>
      <top style="medium">
        <color indexed="64"/>
      </top>
      <bottom/>
      <diagonal/>
    </border>
    <border>
      <left style="thin">
        <color auto="1"/>
      </left>
      <right style="thin">
        <color rgb="FF333333"/>
      </right>
      <top style="medium">
        <color auto="1"/>
      </top>
      <bottom/>
      <diagonal/>
    </border>
    <border>
      <left style="thin">
        <color indexed="8"/>
      </left>
      <right style="medium">
        <color indexed="64"/>
      </right>
      <top style="medium">
        <color indexed="64"/>
      </top>
      <bottom/>
      <diagonal/>
    </border>
    <border>
      <left style="medium">
        <color indexed="64"/>
      </left>
      <right style="thin">
        <color indexed="63"/>
      </right>
      <top style="medium">
        <color indexed="64"/>
      </top>
      <bottom style="medium">
        <color indexed="64"/>
      </bottom>
      <diagonal/>
    </border>
    <border>
      <left style="thin">
        <color indexed="63"/>
      </left>
      <right/>
      <top style="medium">
        <color indexed="64"/>
      </top>
      <bottom style="medium">
        <color indexed="64"/>
      </bottom>
      <diagonal/>
    </border>
    <border>
      <left/>
      <right style="thin">
        <color indexed="63"/>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rgb="FF333333"/>
      </left>
      <right/>
      <top/>
      <bottom style="thin">
        <color rgb="FF333333"/>
      </bottom>
      <diagonal/>
    </border>
    <border>
      <left style="thin">
        <color rgb="FF333333"/>
      </left>
      <right/>
      <top/>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0" fontId="7" fillId="0" borderId="0">
      <alignment vertical="center"/>
    </xf>
    <xf numFmtId="0" fontId="7" fillId="4" borderId="0">
      <alignment vertical="center"/>
    </xf>
  </cellStyleXfs>
  <cellXfs count="227">
    <xf numFmtId="0" fontId="0" fillId="0" borderId="0" xfId="0"/>
    <xf numFmtId="0" fontId="2" fillId="0" borderId="0" xfId="0" applyFont="1" applyFill="1" applyBorder="1" applyAlignment="1">
      <alignment horizontal="center"/>
    </xf>
    <xf numFmtId="0" fontId="5" fillId="0" borderId="0" xfId="0" applyFont="1" applyFill="1" applyBorder="1" applyAlignment="1">
      <alignment horizontal="center"/>
    </xf>
    <xf numFmtId="165" fontId="2" fillId="3" borderId="2" xfId="0" applyNumberFormat="1" applyFont="1" applyFill="1" applyBorder="1" applyAlignment="1" applyProtection="1">
      <alignment horizontal="center"/>
      <protection locked="0"/>
    </xf>
    <xf numFmtId="0" fontId="2" fillId="3" borderId="2" xfId="0" applyFont="1" applyFill="1" applyBorder="1" applyAlignment="1" applyProtection="1">
      <alignment horizontal="left"/>
      <protection locked="0"/>
    </xf>
    <xf numFmtId="165" fontId="2" fillId="0" borderId="4" xfId="0" applyNumberFormat="1" applyFont="1" applyFill="1" applyBorder="1" applyAlignment="1" applyProtection="1">
      <alignment horizontal="center"/>
      <protection locked="0"/>
    </xf>
    <xf numFmtId="0" fontId="2" fillId="0" borderId="4" xfId="0" applyFont="1" applyFill="1" applyBorder="1" applyAlignment="1" applyProtection="1">
      <alignment horizontal="left"/>
      <protection locked="0"/>
    </xf>
    <xf numFmtId="165" fontId="2" fillId="3" borderId="4" xfId="0" applyNumberFormat="1" applyFont="1" applyFill="1" applyBorder="1" applyAlignment="1" applyProtection="1">
      <alignment horizontal="center"/>
      <protection locked="0"/>
    </xf>
    <xf numFmtId="0" fontId="2" fillId="3" borderId="4" xfId="0" applyFont="1" applyFill="1" applyBorder="1" applyAlignment="1" applyProtection="1">
      <alignment horizontal="left"/>
      <protection locked="0"/>
    </xf>
    <xf numFmtId="0" fontId="5" fillId="0" borderId="0" xfId="0" applyNumberFormat="1" applyFont="1" applyFill="1" applyBorder="1" applyAlignment="1" applyProtection="1">
      <alignment horizontal="center"/>
    </xf>
    <xf numFmtId="0" fontId="5" fillId="0" borderId="0" xfId="0" applyNumberFormat="1" applyFont="1" applyFill="1" applyBorder="1" applyAlignment="1">
      <alignment horizontal="left"/>
    </xf>
    <xf numFmtId="0" fontId="5" fillId="0" borderId="0" xfId="0" applyNumberFormat="1" applyFont="1" applyFill="1" applyBorder="1" applyAlignment="1">
      <alignment horizontal="left" wrapText="1"/>
    </xf>
    <xf numFmtId="0" fontId="5" fillId="0" borderId="0" xfId="0" applyNumberFormat="1" applyFont="1" applyFill="1" applyBorder="1" applyAlignment="1">
      <alignment horizontal="center"/>
    </xf>
    <xf numFmtId="0" fontId="5" fillId="0" borderId="0" xfId="0" applyNumberFormat="1" applyFont="1" applyFill="1" applyBorder="1" applyAlignment="1" applyProtection="1">
      <alignment horizontal="center"/>
      <protection locked="0"/>
    </xf>
    <xf numFmtId="164" fontId="5" fillId="0" borderId="0" xfId="0" applyNumberFormat="1" applyFont="1" applyFill="1" applyBorder="1" applyAlignment="1" applyProtection="1">
      <alignment horizontal="right"/>
      <protection locked="0"/>
    </xf>
    <xf numFmtId="0" fontId="5" fillId="0" borderId="0" xfId="0" applyNumberFormat="1" applyFont="1" applyFill="1" applyBorder="1" applyAlignment="1" applyProtection="1">
      <alignment horizontal="left" wrapText="1"/>
      <protection locked="0"/>
    </xf>
    <xf numFmtId="164" fontId="5" fillId="0" borderId="0" xfId="0" applyNumberFormat="1" applyFont="1" applyFill="1" applyBorder="1" applyAlignment="1">
      <alignment horizontal="right"/>
    </xf>
    <xf numFmtId="165" fontId="5" fillId="0" borderId="0" xfId="0" applyNumberFormat="1" applyFont="1" applyFill="1" applyBorder="1" applyAlignment="1" applyProtection="1">
      <alignment horizontal="center"/>
      <protection locked="0"/>
    </xf>
    <xf numFmtId="166" fontId="5" fillId="0" borderId="0" xfId="0" applyNumberFormat="1" applyFont="1" applyFill="1" applyBorder="1" applyAlignment="1">
      <alignment horizontal="right" indent="1"/>
    </xf>
    <xf numFmtId="0" fontId="5" fillId="0" borderId="0" xfId="0" applyFont="1" applyFill="1" applyBorder="1" applyAlignment="1" applyProtection="1">
      <alignment horizontal="left"/>
      <protection locked="0"/>
    </xf>
    <xf numFmtId="0" fontId="0" fillId="0" borderId="5" xfId="0" applyBorder="1"/>
    <xf numFmtId="9" fontId="0" fillId="0" borderId="5" xfId="0" applyNumberFormat="1" applyBorder="1"/>
    <xf numFmtId="0" fontId="0" fillId="0" borderId="5" xfId="0" applyFill="1" applyBorder="1"/>
    <xf numFmtId="167" fontId="8" fillId="0" borderId="5" xfId="2" applyNumberFormat="1" applyFont="1" applyBorder="1">
      <alignment vertical="center"/>
    </xf>
    <xf numFmtId="9" fontId="0" fillId="0" borderId="5" xfId="0" applyNumberFormat="1" applyFill="1" applyBorder="1"/>
    <xf numFmtId="0" fontId="0" fillId="0" borderId="0" xfId="0" applyFill="1"/>
    <xf numFmtId="0" fontId="2" fillId="0" borderId="5" xfId="0" applyNumberFormat="1" applyFont="1" applyFill="1" applyBorder="1" applyAlignment="1">
      <alignment horizontal="center"/>
    </xf>
    <xf numFmtId="0" fontId="2" fillId="0" borderId="5" xfId="0" applyNumberFormat="1" applyFont="1" applyFill="1" applyBorder="1" applyAlignment="1" applyProtection="1">
      <alignment horizontal="center"/>
      <protection locked="0"/>
    </xf>
    <xf numFmtId="0" fontId="4" fillId="0" borderId="5" xfId="0" applyNumberFormat="1" applyFont="1" applyFill="1" applyBorder="1" applyAlignment="1" applyProtection="1">
      <alignment horizontal="left" wrapText="1"/>
      <protection locked="0"/>
    </xf>
    <xf numFmtId="166" fontId="2" fillId="0" borderId="5" xfId="0" applyNumberFormat="1" applyFont="1" applyFill="1" applyBorder="1" applyAlignment="1">
      <alignment horizontal="right" indent="1"/>
    </xf>
    <xf numFmtId="0" fontId="2" fillId="0" borderId="5" xfId="0" applyFont="1" applyFill="1" applyBorder="1" applyAlignment="1" applyProtection="1">
      <alignment horizontal="left"/>
      <protection locked="0"/>
    </xf>
    <xf numFmtId="0" fontId="2" fillId="5" borderId="5" xfId="0" applyNumberFormat="1" applyFont="1" applyFill="1" applyBorder="1" applyAlignment="1" applyProtection="1">
      <alignment horizontal="center"/>
      <protection locked="0"/>
    </xf>
    <xf numFmtId="0" fontId="2" fillId="5" borderId="5" xfId="0" applyNumberFormat="1" applyFont="1" applyFill="1" applyBorder="1" applyAlignment="1">
      <alignment horizontal="center"/>
    </xf>
    <xf numFmtId="0" fontId="5" fillId="0" borderId="0" xfId="0" applyNumberFormat="1" applyFont="1" applyFill="1" applyBorder="1" applyAlignment="1">
      <alignment horizontal="left"/>
    </xf>
    <xf numFmtId="0" fontId="0" fillId="0" borderId="6" xfId="0" applyBorder="1"/>
    <xf numFmtId="167" fontId="8" fillId="0" borderId="6" xfId="2" applyNumberFormat="1" applyFont="1" applyBorder="1">
      <alignment vertical="center"/>
    </xf>
    <xf numFmtId="9" fontId="0" fillId="0" borderId="6" xfId="0" applyNumberFormat="1" applyBorder="1"/>
    <xf numFmtId="166" fontId="5" fillId="0" borderId="0" xfId="0" applyNumberFormat="1" applyFont="1" applyFill="1" applyBorder="1" applyAlignment="1">
      <alignment horizontal="right" indent="1"/>
    </xf>
    <xf numFmtId="0" fontId="5" fillId="0" borderId="0" xfId="0" applyFont="1" applyFill="1" applyBorder="1" applyAlignment="1" applyProtection="1">
      <alignment horizontal="left"/>
      <protection locked="0"/>
    </xf>
    <xf numFmtId="0" fontId="5" fillId="0" borderId="5" xfId="0" applyFont="1" applyFill="1" applyBorder="1" applyAlignment="1" applyProtection="1">
      <alignment horizontal="left"/>
      <protection locked="0"/>
    </xf>
    <xf numFmtId="0" fontId="0" fillId="0" borderId="5" xfId="0" applyFont="1" applyBorder="1"/>
    <xf numFmtId="0" fontId="0" fillId="0" borderId="5" xfId="0" applyFont="1" applyFill="1" applyBorder="1"/>
    <xf numFmtId="166" fontId="5" fillId="3" borderId="2" xfId="0" applyNumberFormat="1" applyFont="1" applyFill="1" applyBorder="1" applyAlignment="1">
      <alignment horizontal="right" indent="1"/>
    </xf>
    <xf numFmtId="166" fontId="5" fillId="0" borderId="4" xfId="0" applyNumberFormat="1" applyFont="1" applyFill="1" applyBorder="1" applyAlignment="1">
      <alignment horizontal="right" indent="1"/>
    </xf>
    <xf numFmtId="166" fontId="5" fillId="3" borderId="4" xfId="0" applyNumberFormat="1" applyFont="1" applyFill="1" applyBorder="1" applyAlignment="1">
      <alignment horizontal="right" indent="1"/>
    </xf>
    <xf numFmtId="0" fontId="0" fillId="0" borderId="0" xfId="0" applyFont="1"/>
    <xf numFmtId="49" fontId="0" fillId="0" borderId="7" xfId="0" applyNumberFormat="1" applyBorder="1" applyAlignment="1">
      <alignment horizontal="center" vertical="center"/>
    </xf>
    <xf numFmtId="164" fontId="5" fillId="0" borderId="0" xfId="0" applyNumberFormat="1" applyFont="1" applyFill="1" applyBorder="1" applyAlignment="1" applyProtection="1">
      <alignment horizontal="right"/>
      <protection locked="0"/>
    </xf>
    <xf numFmtId="0" fontId="0" fillId="0" borderId="7" xfId="0" applyBorder="1"/>
    <xf numFmtId="164" fontId="0" fillId="0" borderId="5" xfId="0" applyNumberFormat="1" applyBorder="1"/>
    <xf numFmtId="164" fontId="8" fillId="4" borderId="5" xfId="3" applyNumberFormat="1" applyFont="1" applyBorder="1">
      <alignment vertical="center"/>
    </xf>
    <xf numFmtId="164" fontId="8" fillId="0" borderId="5" xfId="3" applyNumberFormat="1" applyFont="1" applyFill="1" applyBorder="1">
      <alignment vertical="center"/>
    </xf>
    <xf numFmtId="164" fontId="8" fillId="0" borderId="5" xfId="2" applyNumberFormat="1" applyFont="1" applyBorder="1">
      <alignment vertical="center"/>
    </xf>
    <xf numFmtId="164" fontId="8" fillId="0" borderId="5" xfId="2" applyNumberFormat="1" applyFont="1" applyFill="1" applyBorder="1">
      <alignment vertical="center"/>
    </xf>
    <xf numFmtId="164" fontId="5" fillId="0" borderId="0" xfId="0" applyNumberFormat="1" applyFont="1" applyFill="1" applyBorder="1" applyAlignment="1">
      <alignment horizontal="center"/>
    </xf>
    <xf numFmtId="164" fontId="0" fillId="0" borderId="0" xfId="0" applyNumberFormat="1"/>
    <xf numFmtId="164" fontId="2" fillId="2" borderId="8" xfId="0" applyNumberFormat="1" applyFont="1" applyFill="1" applyBorder="1" applyAlignment="1">
      <alignment horizontal="right"/>
    </xf>
    <xf numFmtId="165" fontId="2" fillId="2" borderId="8" xfId="0" applyNumberFormat="1" applyFont="1" applyFill="1" applyBorder="1" applyAlignment="1" applyProtection="1">
      <alignment horizontal="center"/>
      <protection locked="0"/>
    </xf>
    <xf numFmtId="0" fontId="0" fillId="0" borderId="5" xfId="0" applyBorder="1" applyAlignment="1">
      <alignment wrapText="1"/>
    </xf>
    <xf numFmtId="0" fontId="0" fillId="0" borderId="0" xfId="0" applyBorder="1"/>
    <xf numFmtId="49" fontId="0" fillId="0" borderId="7" xfId="0" applyNumberFormat="1" applyFill="1" applyBorder="1" applyAlignment="1">
      <alignment horizontal="center" vertical="center"/>
    </xf>
    <xf numFmtId="0" fontId="0" fillId="0" borderId="5" xfId="0" applyFont="1" applyFill="1" applyBorder="1" applyAlignment="1">
      <alignment wrapText="1"/>
    </xf>
    <xf numFmtId="0" fontId="0" fillId="0" borderId="5" xfId="0" applyBorder="1" applyAlignment="1">
      <alignment vertical="top" wrapText="1"/>
    </xf>
    <xf numFmtId="3" fontId="0" fillId="0" borderId="5" xfId="0" applyNumberFormat="1" applyBorder="1"/>
    <xf numFmtId="164" fontId="8" fillId="0" borderId="5" xfId="1" applyNumberFormat="1" applyFont="1" applyFill="1" applyBorder="1" applyAlignment="1">
      <alignment vertical="center"/>
    </xf>
    <xf numFmtId="0" fontId="11" fillId="0" borderId="7" xfId="0" applyFont="1" applyFill="1" applyBorder="1"/>
    <xf numFmtId="0" fontId="0" fillId="0" borderId="5" xfId="0" applyBorder="1" applyAlignment="1">
      <alignment horizontal="right"/>
    </xf>
    <xf numFmtId="0" fontId="0" fillId="0" borderId="9" xfId="0" applyBorder="1"/>
    <xf numFmtId="49" fontId="0" fillId="0" borderId="9" xfId="0" applyNumberFormat="1" applyBorder="1" applyAlignment="1">
      <alignment horizontal="center" vertical="center"/>
    </xf>
    <xf numFmtId="0" fontId="0" fillId="0" borderId="9" xfId="0" applyFill="1" applyBorder="1"/>
    <xf numFmtId="0" fontId="2" fillId="0" borderId="9" xfId="0" applyNumberFormat="1" applyFont="1" applyFill="1" applyBorder="1" applyAlignment="1" applyProtection="1">
      <alignment horizontal="center"/>
      <protection locked="0"/>
    </xf>
    <xf numFmtId="0" fontId="2" fillId="0" borderId="9" xfId="0" applyNumberFormat="1" applyFont="1" applyFill="1" applyBorder="1" applyAlignment="1">
      <alignment horizontal="center"/>
    </xf>
    <xf numFmtId="164" fontId="8" fillId="0" borderId="9" xfId="2" applyNumberFormat="1" applyFont="1" applyFill="1" applyBorder="1">
      <alignment vertical="center"/>
    </xf>
    <xf numFmtId="0" fontId="4" fillId="0" borderId="9" xfId="0" applyNumberFormat="1" applyFont="1" applyFill="1" applyBorder="1" applyAlignment="1" applyProtection="1">
      <alignment horizontal="left" wrapText="1"/>
      <protection locked="0"/>
    </xf>
    <xf numFmtId="167" fontId="8" fillId="0" borderId="9" xfId="2" applyNumberFormat="1" applyFont="1" applyFill="1" applyBorder="1">
      <alignment vertical="center"/>
    </xf>
    <xf numFmtId="9" fontId="0" fillId="0" borderId="9" xfId="0" applyNumberFormat="1" applyFill="1" applyBorder="1"/>
    <xf numFmtId="166" fontId="2" fillId="5" borderId="9" xfId="0" applyNumberFormat="1" applyFont="1" applyFill="1" applyBorder="1" applyAlignment="1">
      <alignment horizontal="right" indent="1"/>
    </xf>
    <xf numFmtId="0" fontId="0" fillId="0" borderId="9" xfId="0" applyBorder="1" applyAlignment="1">
      <alignment wrapText="1"/>
    </xf>
    <xf numFmtId="0" fontId="2" fillId="0" borderId="9" xfId="0" applyFont="1" applyFill="1" applyBorder="1" applyAlignment="1" applyProtection="1">
      <alignment horizontal="left"/>
      <protection locked="0"/>
    </xf>
    <xf numFmtId="49" fontId="0" fillId="0" borderId="6" xfId="0" applyNumberFormat="1" applyBorder="1" applyAlignment="1">
      <alignment horizontal="center" vertical="center"/>
    </xf>
    <xf numFmtId="164" fontId="8" fillId="0" borderId="6" xfId="3" applyNumberFormat="1" applyFont="1" applyFill="1" applyBorder="1">
      <alignment vertical="center"/>
    </xf>
    <xf numFmtId="0" fontId="0" fillId="0" borderId="6" xfId="0" applyBorder="1" applyAlignment="1">
      <alignment wrapText="1"/>
    </xf>
    <xf numFmtId="0" fontId="2" fillId="3" borderId="10" xfId="0" applyNumberFormat="1" applyFont="1" applyFill="1" applyBorder="1" applyAlignment="1" applyProtection="1">
      <alignment horizontal="center"/>
    </xf>
    <xf numFmtId="0" fontId="2" fillId="3" borderId="11" xfId="0" applyNumberFormat="1" applyFont="1" applyFill="1" applyBorder="1" applyAlignment="1">
      <alignment horizontal="center"/>
    </xf>
    <xf numFmtId="0" fontId="2" fillId="3" borderId="11" xfId="0" applyFont="1" applyFill="1" applyBorder="1" applyAlignment="1" applyProtection="1">
      <alignment horizontal="left"/>
      <protection locked="0"/>
    </xf>
    <xf numFmtId="0" fontId="2" fillId="3" borderId="11" xfId="0" applyNumberFormat="1" applyFont="1" applyFill="1" applyBorder="1" applyAlignment="1" applyProtection="1">
      <alignment horizontal="center"/>
      <protection locked="0"/>
    </xf>
    <xf numFmtId="164" fontId="4" fillId="3" borderId="11" xfId="0" applyNumberFormat="1" applyFont="1" applyFill="1" applyBorder="1" applyAlignment="1" applyProtection="1">
      <alignment horizontal="right"/>
      <protection locked="0"/>
    </xf>
    <xf numFmtId="0" fontId="4" fillId="3" borderId="11" xfId="0" applyNumberFormat="1" applyFont="1" applyFill="1" applyBorder="1" applyAlignment="1" applyProtection="1">
      <alignment horizontal="left" wrapText="1"/>
      <protection locked="0"/>
    </xf>
    <xf numFmtId="165" fontId="2" fillId="3" borderId="11" xfId="0" applyNumberFormat="1" applyFont="1" applyFill="1" applyBorder="1" applyAlignment="1" applyProtection="1">
      <alignment horizontal="center"/>
      <protection locked="0"/>
    </xf>
    <xf numFmtId="166" fontId="2" fillId="3" borderId="11" xfId="0" applyNumberFormat="1" applyFont="1" applyFill="1" applyBorder="1" applyAlignment="1">
      <alignment horizontal="right" indent="1"/>
    </xf>
    <xf numFmtId="0" fontId="5" fillId="3" borderId="11" xfId="0" applyFont="1" applyFill="1" applyBorder="1" applyAlignment="1" applyProtection="1">
      <alignment horizontal="left"/>
      <protection locked="0"/>
    </xf>
    <xf numFmtId="0" fontId="2" fillId="5" borderId="9" xfId="0" applyNumberFormat="1" applyFont="1" applyFill="1" applyBorder="1" applyAlignment="1" applyProtection="1">
      <alignment horizontal="center"/>
      <protection locked="0"/>
    </xf>
    <xf numFmtId="0" fontId="2" fillId="5" borderId="9" xfId="0" applyNumberFormat="1" applyFont="1" applyFill="1" applyBorder="1" applyAlignment="1">
      <alignment horizontal="center"/>
    </xf>
    <xf numFmtId="167" fontId="8" fillId="0" borderId="9" xfId="2" applyNumberFormat="1" applyFont="1" applyBorder="1">
      <alignment vertical="center"/>
    </xf>
    <xf numFmtId="9" fontId="0" fillId="0" borderId="9" xfId="0" applyNumberFormat="1" applyBorder="1"/>
    <xf numFmtId="166" fontId="2" fillId="0" borderId="9" xfId="0" applyNumberFormat="1" applyFont="1" applyFill="1" applyBorder="1" applyAlignment="1">
      <alignment horizontal="right" indent="1"/>
    </xf>
    <xf numFmtId="0" fontId="5" fillId="0" borderId="9" xfId="0" applyFont="1" applyFill="1" applyBorder="1" applyAlignment="1" applyProtection="1">
      <alignment horizontal="left"/>
      <protection locked="0"/>
    </xf>
    <xf numFmtId="0" fontId="2" fillId="0" borderId="6" xfId="0" applyNumberFormat="1" applyFont="1" applyFill="1" applyBorder="1" applyAlignment="1" applyProtection="1">
      <alignment horizontal="center"/>
      <protection locked="0"/>
    </xf>
    <xf numFmtId="0" fontId="2" fillId="0" borderId="6" xfId="0" applyNumberFormat="1" applyFont="1" applyFill="1" applyBorder="1" applyAlignment="1">
      <alignment horizontal="center"/>
    </xf>
    <xf numFmtId="0" fontId="4" fillId="0" borderId="6" xfId="0" applyNumberFormat="1" applyFont="1" applyFill="1" applyBorder="1" applyAlignment="1" applyProtection="1">
      <alignment horizontal="left" wrapText="1"/>
      <protection locked="0"/>
    </xf>
    <xf numFmtId="166" fontId="2" fillId="0" borderId="6" xfId="0" applyNumberFormat="1" applyFont="1" applyFill="1" applyBorder="1" applyAlignment="1">
      <alignment horizontal="right" indent="1"/>
    </xf>
    <xf numFmtId="0" fontId="2" fillId="0" borderId="6" xfId="0" applyFont="1" applyFill="1" applyBorder="1" applyAlignment="1" applyProtection="1">
      <alignment horizontal="left"/>
      <protection locked="0"/>
    </xf>
    <xf numFmtId="0" fontId="2" fillId="3" borderId="10" xfId="0" applyNumberFormat="1" applyFont="1" applyFill="1" applyBorder="1" applyAlignment="1">
      <alignment horizontal="left"/>
    </xf>
    <xf numFmtId="0" fontId="2" fillId="3" borderId="11" xfId="0" applyNumberFormat="1" applyFont="1" applyFill="1" applyBorder="1" applyAlignment="1">
      <alignment horizontal="center" wrapText="1"/>
    </xf>
    <xf numFmtId="0" fontId="2" fillId="3" borderId="11" xfId="0" applyNumberFormat="1" applyFont="1" applyFill="1" applyBorder="1" applyAlignment="1">
      <alignment horizontal="left"/>
    </xf>
    <xf numFmtId="164" fontId="2" fillId="3" borderId="11" xfId="0" applyNumberFormat="1" applyFont="1" applyFill="1" applyBorder="1" applyAlignment="1">
      <alignment horizontal="right"/>
    </xf>
    <xf numFmtId="0" fontId="2" fillId="2" borderId="12" xfId="0" applyNumberFormat="1" applyFont="1" applyFill="1" applyBorder="1" applyAlignment="1" applyProtection="1">
      <alignment horizontal="center" wrapText="1"/>
    </xf>
    <xf numFmtId="0" fontId="2" fillId="2" borderId="8" xfId="0" applyNumberFormat="1" applyFont="1" applyFill="1" applyBorder="1" applyAlignment="1">
      <alignment horizontal="center"/>
    </xf>
    <xf numFmtId="0" fontId="2" fillId="2" borderId="8" xfId="0" applyNumberFormat="1" applyFont="1" applyFill="1" applyBorder="1" applyAlignment="1">
      <alignment horizontal="center" wrapText="1"/>
    </xf>
    <xf numFmtId="0" fontId="2" fillId="2" borderId="8" xfId="0" applyNumberFormat="1" applyFont="1" applyFill="1" applyBorder="1" applyAlignment="1" applyProtection="1">
      <alignment horizontal="center" wrapText="1"/>
      <protection locked="0"/>
    </xf>
    <xf numFmtId="0" fontId="4" fillId="2" borderId="8" xfId="0" applyNumberFormat="1" applyFont="1" applyFill="1" applyBorder="1" applyAlignment="1" applyProtection="1">
      <alignment horizontal="center" wrapText="1"/>
      <protection locked="0"/>
    </xf>
    <xf numFmtId="166" fontId="2" fillId="2" borderId="8" xfId="0" applyNumberFormat="1" applyFont="1" applyFill="1" applyBorder="1" applyAlignment="1">
      <alignment horizontal="right"/>
    </xf>
    <xf numFmtId="165" fontId="9" fillId="8" borderId="13" xfId="0" applyNumberFormat="1" applyFont="1" applyFill="1" applyBorder="1" applyAlignment="1" applyProtection="1">
      <alignment horizontal="center" wrapText="1"/>
      <protection locked="0"/>
    </xf>
    <xf numFmtId="0" fontId="2" fillId="2" borderId="14" xfId="0" applyFont="1" applyFill="1" applyBorder="1" applyAlignment="1" applyProtection="1">
      <alignment horizontal="center" wrapText="1"/>
      <protection locked="0"/>
    </xf>
    <xf numFmtId="0" fontId="0" fillId="0" borderId="6" xfId="0" applyFont="1" applyBorder="1"/>
    <xf numFmtId="0" fontId="2" fillId="3" borderId="15" xfId="0" applyNumberFormat="1" applyFont="1" applyFill="1" applyBorder="1" applyAlignment="1" applyProtection="1">
      <alignment horizontal="center"/>
    </xf>
    <xf numFmtId="0" fontId="2" fillId="3" borderId="16" xfId="0" applyNumberFormat="1" applyFont="1" applyFill="1" applyBorder="1" applyAlignment="1">
      <alignment horizontal="left"/>
    </xf>
    <xf numFmtId="0" fontId="2" fillId="3" borderId="18" xfId="0" applyNumberFormat="1" applyFont="1" applyFill="1" applyBorder="1" applyAlignment="1">
      <alignment horizontal="center"/>
    </xf>
    <xf numFmtId="0" fontId="2" fillId="3" borderId="18" xfId="0" applyNumberFormat="1" applyFont="1" applyFill="1" applyBorder="1" applyAlignment="1">
      <alignment horizontal="left"/>
    </xf>
    <xf numFmtId="0" fontId="2" fillId="3" borderId="18" xfId="0" applyNumberFormat="1" applyFont="1" applyFill="1" applyBorder="1" applyAlignment="1" applyProtection="1">
      <alignment horizontal="center"/>
      <protection locked="0"/>
    </xf>
    <xf numFmtId="164" fontId="4" fillId="3" borderId="18" xfId="0" applyNumberFormat="1" applyFont="1" applyFill="1" applyBorder="1" applyAlignment="1" applyProtection="1">
      <alignment horizontal="right"/>
      <protection locked="0"/>
    </xf>
    <xf numFmtId="0" fontId="4" fillId="3" borderId="16" xfId="0" applyNumberFormat="1" applyFont="1" applyFill="1" applyBorder="1" applyAlignment="1" applyProtection="1">
      <alignment horizontal="left" wrapText="1"/>
      <protection locked="0"/>
    </xf>
    <xf numFmtId="166" fontId="2" fillId="3" borderId="17" xfId="0" applyNumberFormat="1" applyFont="1" applyFill="1" applyBorder="1" applyAlignment="1">
      <alignment horizontal="right" indent="1"/>
    </xf>
    <xf numFmtId="0" fontId="5" fillId="3" borderId="18" xfId="0" applyFont="1" applyFill="1" applyBorder="1" applyAlignment="1" applyProtection="1">
      <alignment horizontal="left"/>
      <protection locked="0"/>
    </xf>
    <xf numFmtId="0" fontId="2" fillId="3" borderId="19" xfId="0" applyFont="1" applyFill="1" applyBorder="1" applyAlignment="1" applyProtection="1">
      <alignment horizontal="left"/>
      <protection locked="0"/>
    </xf>
    <xf numFmtId="164" fontId="8" fillId="0" borderId="9" xfId="3" applyNumberFormat="1" applyFont="1" applyFill="1" applyBorder="1">
      <alignment vertical="center"/>
    </xf>
    <xf numFmtId="0" fontId="0" fillId="0" borderId="9" xfId="0" applyFont="1" applyBorder="1"/>
    <xf numFmtId="164" fontId="8" fillId="0" borderId="6" xfId="2" applyNumberFormat="1" applyFont="1" applyFill="1" applyBorder="1">
      <alignment vertical="center"/>
    </xf>
    <xf numFmtId="0" fontId="5" fillId="0" borderId="6" xfId="0" applyFont="1" applyFill="1" applyBorder="1" applyAlignment="1" applyProtection="1">
      <alignment horizontal="left"/>
      <protection locked="0"/>
    </xf>
    <xf numFmtId="0" fontId="2" fillId="7" borderId="10" xfId="0" applyNumberFormat="1" applyFont="1" applyFill="1" applyBorder="1" applyAlignment="1" applyProtection="1">
      <alignment horizontal="center"/>
    </xf>
    <xf numFmtId="0" fontId="2" fillId="7" borderId="11" xfId="0" applyNumberFormat="1" applyFont="1" applyFill="1" applyBorder="1" applyAlignment="1" applyProtection="1">
      <alignment horizontal="center"/>
    </xf>
    <xf numFmtId="164" fontId="8" fillId="0" borderId="6" xfId="1" applyNumberFormat="1" applyFont="1" applyBorder="1" applyAlignment="1">
      <alignment vertical="center"/>
    </xf>
    <xf numFmtId="0" fontId="5" fillId="3" borderId="10" xfId="0" applyNumberFormat="1" applyFont="1" applyFill="1" applyBorder="1" applyAlignment="1">
      <alignment horizontal="left"/>
    </xf>
    <xf numFmtId="0" fontId="2" fillId="6" borderId="11" xfId="0" applyNumberFormat="1" applyFont="1" applyFill="1" applyBorder="1" applyAlignment="1">
      <alignment horizontal="left" wrapText="1"/>
    </xf>
    <xf numFmtId="0" fontId="5" fillId="3" borderId="11" xfId="0" applyNumberFormat="1" applyFont="1" applyFill="1" applyBorder="1" applyAlignment="1">
      <alignment horizontal="center"/>
    </xf>
    <xf numFmtId="0" fontId="5" fillId="3" borderId="11" xfId="0" applyNumberFormat="1" applyFont="1" applyFill="1" applyBorder="1" applyAlignment="1">
      <alignment horizontal="left"/>
    </xf>
    <xf numFmtId="0" fontId="5" fillId="3" borderId="11" xfId="0" applyNumberFormat="1" applyFont="1" applyFill="1" applyBorder="1" applyAlignment="1" applyProtection="1">
      <alignment horizontal="center"/>
      <protection locked="0"/>
    </xf>
    <xf numFmtId="164" fontId="6" fillId="3" borderId="11" xfId="0" applyNumberFormat="1" applyFont="1" applyFill="1" applyBorder="1" applyAlignment="1" applyProtection="1">
      <alignment horizontal="right"/>
      <protection locked="0"/>
    </xf>
    <xf numFmtId="0" fontId="6" fillId="3" borderId="11" xfId="0" applyNumberFormat="1" applyFont="1" applyFill="1" applyBorder="1" applyAlignment="1" applyProtection="1">
      <alignment horizontal="left" wrapText="1"/>
      <protection locked="0"/>
    </xf>
    <xf numFmtId="165" fontId="5" fillId="3" borderId="11" xfId="0" applyNumberFormat="1" applyFont="1" applyFill="1" applyBorder="1" applyAlignment="1" applyProtection="1">
      <alignment horizontal="center"/>
      <protection locked="0"/>
    </xf>
    <xf numFmtId="166" fontId="5" fillId="3" borderId="11" xfId="0" applyNumberFormat="1" applyFont="1" applyFill="1" applyBorder="1" applyAlignment="1">
      <alignment horizontal="right" indent="1"/>
    </xf>
    <xf numFmtId="0" fontId="0" fillId="0" borderId="6" xfId="0" applyFill="1" applyBorder="1"/>
    <xf numFmtId="9" fontId="0" fillId="0" borderId="6" xfId="0" applyNumberFormat="1" applyFill="1" applyBorder="1"/>
    <xf numFmtId="0" fontId="0" fillId="0" borderId="6" xfId="0" applyFont="1" applyFill="1" applyBorder="1"/>
    <xf numFmtId="0" fontId="5" fillId="3" borderId="10" xfId="0" applyFont="1" applyFill="1" applyBorder="1" applyAlignment="1" applyProtection="1">
      <alignment horizontal="left"/>
      <protection locked="0"/>
    </xf>
    <xf numFmtId="0" fontId="11" fillId="0" borderId="9" xfId="0" applyFont="1" applyFill="1" applyBorder="1" applyAlignment="1">
      <alignment horizontal="left" vertical="center" wrapText="1"/>
    </xf>
    <xf numFmtId="49" fontId="0" fillId="0" borderId="6" xfId="0" applyNumberFormat="1" applyFill="1" applyBorder="1" applyAlignment="1">
      <alignment horizontal="center" vertical="center"/>
    </xf>
    <xf numFmtId="0" fontId="5" fillId="3" borderId="20" xfId="0" applyFont="1" applyFill="1" applyBorder="1" applyAlignment="1" applyProtection="1">
      <alignment horizontal="left"/>
      <protection locked="0"/>
    </xf>
    <xf numFmtId="165" fontId="5" fillId="0" borderId="0" xfId="0" applyNumberFormat="1" applyFont="1" applyFill="1" applyBorder="1" applyAlignment="1" applyProtection="1">
      <alignment horizontal="center"/>
      <protection locked="0"/>
    </xf>
    <xf numFmtId="166" fontId="5" fillId="0" borderId="0" xfId="0" applyNumberFormat="1" applyFont="1" applyFill="1" applyBorder="1" applyAlignment="1">
      <alignment horizontal="right" indent="1"/>
    </xf>
    <xf numFmtId="168" fontId="13" fillId="0" borderId="4" xfId="0" applyNumberFormat="1" applyFont="1" applyFill="1" applyBorder="1" applyAlignment="1">
      <alignment horizontal="right"/>
    </xf>
    <xf numFmtId="166" fontId="2" fillId="0" borderId="7" xfId="0" applyNumberFormat="1" applyFont="1" applyFill="1" applyBorder="1" applyAlignment="1">
      <alignment horizontal="right" indent="1"/>
    </xf>
    <xf numFmtId="0" fontId="0" fillId="0" borderId="7" xfId="0" applyFill="1" applyBorder="1"/>
    <xf numFmtId="166" fontId="2" fillId="2" borderId="21" xfId="0" applyNumberFormat="1" applyFont="1" applyFill="1" applyBorder="1" applyAlignment="1">
      <alignment horizontal="center"/>
    </xf>
    <xf numFmtId="0" fontId="0" fillId="5" borderId="5" xfId="0" applyFill="1" applyBorder="1"/>
    <xf numFmtId="0" fontId="5" fillId="0" borderId="0" xfId="0" applyNumberFormat="1" applyFont="1" applyFill="1" applyBorder="1" applyAlignment="1">
      <alignment horizontal="center"/>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2" fillId="3" borderId="24" xfId="0" applyNumberFormat="1" applyFont="1" applyFill="1" applyBorder="1" applyAlignment="1">
      <alignment horizontal="center" wrapText="1"/>
    </xf>
    <xf numFmtId="0" fontId="5" fillId="0" borderId="25" xfId="0" applyNumberFormat="1" applyFont="1" applyFill="1" applyBorder="1" applyAlignment="1">
      <alignment horizontal="left" vertical="top" wrapText="1"/>
    </xf>
    <xf numFmtId="0" fontId="2" fillId="3" borderId="24" xfId="0" applyNumberFormat="1" applyFont="1" applyFill="1" applyBorder="1" applyAlignment="1" applyProtection="1">
      <alignment horizontal="center"/>
    </xf>
    <xf numFmtId="0" fontId="2" fillId="7" borderId="24" xfId="0" applyNumberFormat="1" applyFont="1" applyFill="1" applyBorder="1" applyAlignment="1" applyProtection="1">
      <alignment horizontal="center" wrapText="1"/>
    </xf>
    <xf numFmtId="0" fontId="5" fillId="0" borderId="22" xfId="0" applyFont="1" applyBorder="1" applyAlignment="1">
      <alignment horizontal="left" vertical="center" wrapText="1"/>
    </xf>
    <xf numFmtId="0" fontId="2" fillId="3" borderId="24" xfId="0" applyNumberFormat="1" applyFont="1" applyFill="1" applyBorder="1" applyAlignment="1">
      <alignment horizontal="left"/>
    </xf>
    <xf numFmtId="0" fontId="5" fillId="0" borderId="22" xfId="0" applyFont="1" applyBorder="1" applyAlignment="1">
      <alignment horizontal="left" vertical="top" wrapText="1"/>
    </xf>
    <xf numFmtId="0" fontId="2" fillId="3" borderId="24" xfId="0" applyNumberFormat="1" applyFont="1" applyFill="1" applyBorder="1" applyAlignment="1">
      <alignment horizontal="left" wrapText="1"/>
    </xf>
    <xf numFmtId="0" fontId="10" fillId="0" borderId="7" xfId="0" applyFont="1" applyBorder="1" applyAlignment="1">
      <alignment horizontal="left" vertical="center" wrapText="1"/>
    </xf>
    <xf numFmtId="0" fontId="2" fillId="3" borderId="7" xfId="0" applyNumberFormat="1" applyFont="1" applyFill="1" applyBorder="1" applyAlignment="1">
      <alignment horizontal="left"/>
    </xf>
    <xf numFmtId="0" fontId="0" fillId="0" borderId="6" xfId="0" applyBorder="1" applyAlignment="1">
      <alignment horizontal="left"/>
    </xf>
    <xf numFmtId="0" fontId="14" fillId="0" borderId="5" xfId="0" applyFont="1" applyBorder="1"/>
    <xf numFmtId="0" fontId="0" fillId="0" borderId="5" xfId="0" applyNumberFormat="1" applyBorder="1"/>
    <xf numFmtId="0" fontId="2" fillId="0" borderId="5" xfId="0" applyNumberFormat="1" applyFont="1" applyFill="1" applyBorder="1" applyAlignment="1" applyProtection="1">
      <alignment horizontal="left"/>
      <protection locked="0"/>
    </xf>
    <xf numFmtId="0" fontId="5" fillId="0" borderId="0" xfId="0" applyNumberFormat="1" applyFont="1" applyFill="1" applyBorder="1" applyAlignment="1" applyProtection="1">
      <alignment horizontal="left" wrapText="1"/>
      <protection locked="0"/>
    </xf>
    <xf numFmtId="0" fontId="5" fillId="0" borderId="0" xfId="0" applyNumberFormat="1" applyFont="1" applyFill="1" applyBorder="1" applyAlignment="1" applyProtection="1">
      <alignment horizontal="center"/>
    </xf>
    <xf numFmtId="0" fontId="5" fillId="0" borderId="0" xfId="0" applyNumberFormat="1" applyFont="1" applyFill="1" applyBorder="1" applyAlignment="1">
      <alignment horizontal="left"/>
    </xf>
    <xf numFmtId="0" fontId="5" fillId="0" borderId="0" xfId="0" applyNumberFormat="1" applyFont="1" applyFill="1" applyBorder="1" applyAlignment="1">
      <alignment horizontal="left" wrapText="1"/>
    </xf>
    <xf numFmtId="0" fontId="5" fillId="0" borderId="0" xfId="0" applyNumberFormat="1" applyFont="1" applyFill="1" applyBorder="1" applyAlignment="1">
      <alignment horizontal="center"/>
    </xf>
    <xf numFmtId="0" fontId="5" fillId="0" borderId="0" xfId="0" applyNumberFormat="1" applyFont="1" applyFill="1" applyBorder="1" applyAlignment="1" applyProtection="1">
      <alignment horizontal="center"/>
      <protection locked="0"/>
    </xf>
    <xf numFmtId="164" fontId="5" fillId="0" borderId="0" xfId="0" applyNumberFormat="1" applyFont="1" applyFill="1" applyBorder="1" applyAlignment="1" applyProtection="1">
      <alignment horizontal="right"/>
      <protection locked="0"/>
    </xf>
    <xf numFmtId="164" fontId="5" fillId="0" borderId="0" xfId="0" applyNumberFormat="1" applyFont="1" applyFill="1" applyBorder="1" applyAlignment="1">
      <alignment horizontal="right"/>
    </xf>
    <xf numFmtId="165" fontId="5" fillId="0" borderId="0" xfId="0" applyNumberFormat="1" applyFont="1" applyFill="1" applyBorder="1" applyAlignment="1" applyProtection="1">
      <alignment horizontal="center"/>
      <protection locked="0"/>
    </xf>
    <xf numFmtId="166" fontId="5" fillId="0" borderId="0" xfId="0" applyNumberFormat="1" applyFont="1" applyFill="1" applyBorder="1" applyAlignment="1">
      <alignment horizontal="right" indent="1"/>
    </xf>
    <xf numFmtId="0" fontId="5" fillId="0" borderId="0" xfId="0" applyFont="1" applyFill="1" applyBorder="1" applyAlignment="1" applyProtection="1">
      <alignment horizontal="left"/>
      <protection locked="0"/>
    </xf>
    <xf numFmtId="168" fontId="12" fillId="9" borderId="2" xfId="1" applyNumberFormat="1" applyFont="1" applyFill="1" applyBorder="1" applyAlignment="1">
      <alignment horizontal="right"/>
    </xf>
    <xf numFmtId="165" fontId="2" fillId="9" borderId="4" xfId="0" applyNumberFormat="1" applyFont="1" applyFill="1" applyBorder="1" applyAlignment="1" applyProtection="1">
      <alignment horizontal="center"/>
      <protection locked="0"/>
    </xf>
    <xf numFmtId="165" fontId="2" fillId="9" borderId="2" xfId="0" applyNumberFormat="1" applyFont="1" applyFill="1" applyBorder="1" applyAlignment="1" applyProtection="1">
      <alignment horizontal="center"/>
      <protection locked="0"/>
    </xf>
    <xf numFmtId="164" fontId="2" fillId="2" borderId="8" xfId="0" applyNumberFormat="1" applyFont="1" applyFill="1" applyBorder="1" applyAlignment="1">
      <alignment horizontal="center"/>
    </xf>
    <xf numFmtId="167" fontId="8" fillId="0" borderId="6" xfId="2" applyNumberFormat="1" applyFont="1" applyFill="1" applyBorder="1">
      <alignment vertical="center"/>
    </xf>
    <xf numFmtId="167" fontId="8" fillId="0" borderId="5" xfId="2" applyNumberFormat="1" applyFont="1" applyFill="1" applyBorder="1">
      <alignment vertical="center"/>
    </xf>
    <xf numFmtId="164" fontId="8" fillId="0" borderId="9" xfId="1" applyNumberFormat="1" applyFont="1" applyFill="1" applyBorder="1" applyAlignment="1">
      <alignment vertical="center"/>
    </xf>
    <xf numFmtId="164" fontId="0" fillId="0" borderId="6" xfId="0" applyNumberFormat="1" applyFill="1" applyBorder="1"/>
    <xf numFmtId="0" fontId="0" fillId="0" borderId="5" xfId="0" applyFill="1" applyBorder="1" applyAlignment="1">
      <alignment horizontal="right"/>
    </xf>
    <xf numFmtId="0" fontId="10" fillId="0" borderId="22" xfId="0" applyFont="1" applyFill="1" applyBorder="1" applyAlignment="1">
      <alignment horizontal="left" vertical="center" wrapText="1"/>
    </xf>
    <xf numFmtId="0" fontId="2" fillId="3" borderId="27" xfId="0" applyNumberFormat="1" applyFont="1" applyFill="1" applyBorder="1" applyAlignment="1">
      <alignment horizontal="center"/>
    </xf>
    <xf numFmtId="0" fontId="2" fillId="3" borderId="26" xfId="0" applyNumberFormat="1" applyFont="1" applyFill="1" applyBorder="1" applyAlignment="1">
      <alignment horizontal="center" wrapText="1"/>
    </xf>
    <xf numFmtId="0" fontId="2" fillId="3" borderId="26" xfId="0" applyNumberFormat="1" applyFont="1" applyFill="1" applyBorder="1" applyAlignment="1" applyProtection="1">
      <alignment horizontal="center"/>
    </xf>
    <xf numFmtId="0" fontId="16" fillId="0" borderId="0" xfId="0" applyNumberFormat="1" applyFont="1" applyFill="1" applyBorder="1" applyAlignment="1">
      <alignment horizontal="left"/>
    </xf>
    <xf numFmtId="0" fontId="15" fillId="0" borderId="0" xfId="0" applyFont="1"/>
    <xf numFmtId="164" fontId="15" fillId="0" borderId="6" xfId="0" applyNumberFormat="1" applyFont="1" applyFill="1" applyBorder="1"/>
    <xf numFmtId="164" fontId="0" fillId="0" borderId="5" xfId="0" applyNumberFormat="1" applyFill="1" applyBorder="1"/>
    <xf numFmtId="164" fontId="8" fillId="0" borderId="6" xfId="1" applyNumberFormat="1" applyFont="1" applyFill="1" applyBorder="1" applyAlignment="1">
      <alignment vertical="center"/>
    </xf>
    <xf numFmtId="0" fontId="6" fillId="0" borderId="11" xfId="0" applyNumberFormat="1" applyFont="1" applyFill="1" applyBorder="1" applyAlignment="1" applyProtection="1">
      <alignment horizontal="left" wrapText="1"/>
      <protection locked="0"/>
    </xf>
    <xf numFmtId="0" fontId="17"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6" xfId="0" applyFont="1" applyBorder="1" applyAlignment="1">
      <alignment horizontal="left" vertical="center" wrapText="1"/>
    </xf>
    <xf numFmtId="0" fontId="17" fillId="0" borderId="7" xfId="0" applyFont="1" applyFill="1" applyBorder="1" applyAlignment="1">
      <alignment horizontal="left" vertical="center" wrapText="1"/>
    </xf>
    <xf numFmtId="0" fontId="17" fillId="0" borderId="7" xfId="0" applyNumberFormat="1" applyFont="1" applyFill="1" applyBorder="1" applyAlignment="1">
      <alignment horizontal="left" vertical="top" wrapText="1"/>
    </xf>
    <xf numFmtId="0" fontId="17" fillId="0" borderId="7" xfId="0" applyFont="1" applyBorder="1" applyAlignment="1">
      <alignment horizontal="left" vertical="top" wrapText="1"/>
    </xf>
    <xf numFmtId="0" fontId="2" fillId="3" borderId="10" xfId="0" applyNumberFormat="1" applyFont="1" applyFill="1" applyBorder="1" applyAlignment="1" applyProtection="1">
      <alignment horizontal="center" wrapText="1"/>
    </xf>
    <xf numFmtId="0" fontId="2" fillId="9" borderId="1" xfId="0" applyNumberFormat="1" applyFont="1" applyFill="1" applyBorder="1" applyAlignment="1" applyProtection="1">
      <alignment horizontal="right" wrapText="1"/>
      <protection locked="0"/>
    </xf>
    <xf numFmtId="0" fontId="2" fillId="9" borderId="2" xfId="0" applyNumberFormat="1" applyFont="1" applyFill="1" applyBorder="1" applyAlignment="1" applyProtection="1">
      <alignment horizontal="right" wrapText="1"/>
      <protection locked="0"/>
    </xf>
    <xf numFmtId="0" fontId="2" fillId="0" borderId="3" xfId="0" applyNumberFormat="1" applyFont="1" applyFill="1" applyBorder="1" applyAlignment="1" applyProtection="1">
      <alignment horizontal="right" wrapText="1"/>
      <protection locked="0"/>
    </xf>
    <xf numFmtId="0" fontId="2" fillId="3" borderId="3" xfId="0" applyNumberFormat="1" applyFont="1" applyFill="1" applyBorder="1" applyAlignment="1" applyProtection="1">
      <alignment horizontal="right" wrapText="1"/>
      <protection locked="0"/>
    </xf>
    <xf numFmtId="0" fontId="5" fillId="0" borderId="0" xfId="0" applyNumberFormat="1" applyFont="1" applyFill="1" applyBorder="1" applyAlignment="1" applyProtection="1">
      <alignment horizontal="left" wrapText="1"/>
    </xf>
    <xf numFmtId="0" fontId="5" fillId="0" borderId="0" xfId="0" applyNumberFormat="1" applyFont="1" applyFill="1" applyBorder="1" applyAlignment="1" applyProtection="1">
      <alignment horizontal="left" wrapText="1"/>
      <protection locked="0"/>
    </xf>
    <xf numFmtId="0" fontId="5" fillId="0" borderId="0" xfId="0" applyNumberFormat="1" applyFont="1" applyFill="1" applyBorder="1" applyAlignment="1" applyProtection="1">
      <alignment horizontal="center"/>
    </xf>
    <xf numFmtId="0" fontId="5" fillId="0" borderId="0" xfId="0" applyNumberFormat="1" applyFont="1" applyFill="1" applyBorder="1" applyAlignment="1">
      <alignment horizontal="left"/>
    </xf>
    <xf numFmtId="0" fontId="5" fillId="0" borderId="0" xfId="0" applyNumberFormat="1" applyFont="1" applyFill="1" applyBorder="1" applyAlignment="1">
      <alignment horizontal="left" wrapText="1"/>
    </xf>
    <xf numFmtId="0" fontId="5" fillId="0" borderId="0" xfId="0" applyNumberFormat="1" applyFont="1" applyFill="1" applyBorder="1" applyAlignment="1">
      <alignment horizontal="center"/>
    </xf>
    <xf numFmtId="0" fontId="5" fillId="0" borderId="0" xfId="0" applyNumberFormat="1" applyFont="1" applyFill="1" applyBorder="1" applyAlignment="1" applyProtection="1">
      <alignment horizontal="center"/>
      <protection locked="0"/>
    </xf>
    <xf numFmtId="164" fontId="5" fillId="0" borderId="0" xfId="0" applyNumberFormat="1" applyFont="1" applyFill="1" applyBorder="1" applyAlignment="1" applyProtection="1">
      <alignment horizontal="right"/>
      <protection locked="0"/>
    </xf>
    <xf numFmtId="164" fontId="5" fillId="0" borderId="0" xfId="0" applyNumberFormat="1" applyFont="1" applyFill="1" applyBorder="1" applyAlignment="1">
      <alignment horizontal="right"/>
    </xf>
    <xf numFmtId="165" fontId="5" fillId="0" borderId="0" xfId="0" applyNumberFormat="1" applyFont="1" applyFill="1" applyBorder="1" applyAlignment="1" applyProtection="1">
      <alignment horizontal="center"/>
      <protection locked="0"/>
    </xf>
    <xf numFmtId="166" fontId="5" fillId="0" borderId="0" xfId="0" applyNumberFormat="1" applyFont="1" applyFill="1" applyBorder="1" applyAlignment="1">
      <alignment horizontal="right" indent="1"/>
    </xf>
    <xf numFmtId="0" fontId="5" fillId="0" borderId="0" xfId="0" applyFont="1" applyFill="1" applyBorder="1" applyAlignment="1" applyProtection="1">
      <alignment horizontal="left"/>
      <protection locked="0"/>
    </xf>
    <xf numFmtId="0" fontId="2" fillId="3" borderId="1" xfId="0" applyNumberFormat="1" applyFont="1" applyFill="1" applyBorder="1" applyAlignment="1" applyProtection="1">
      <alignment horizontal="right" wrapText="1"/>
      <protection locked="0"/>
    </xf>
    <xf numFmtId="0" fontId="2" fillId="3" borderId="2" xfId="0" applyNumberFormat="1" applyFont="1" applyFill="1" applyBorder="1" applyAlignment="1" applyProtection="1">
      <alignment horizontal="right" wrapText="1"/>
      <protection locked="0"/>
    </xf>
  </cellXfs>
  <cellStyles count="4">
    <cellStyle name="DataStyleEven" xfId="3" xr:uid="{00000000-0005-0000-0000-000000000000}"/>
    <cellStyle name="DataStyleOdd" xfId="2" xr:uid="{00000000-0005-0000-0000-000001000000}"/>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29"/>
  <sheetViews>
    <sheetView topLeftCell="A139" zoomScale="80" zoomScaleNormal="80" workbookViewId="0">
      <selection activeCell="C199" sqref="C199"/>
    </sheetView>
  </sheetViews>
  <sheetFormatPr defaultColWidth="8.88671875" defaultRowHeight="91.8" customHeight="1" x14ac:dyDescent="0.3"/>
  <cols>
    <col min="1" max="1" width="15.21875" customWidth="1"/>
    <col min="2" max="2" width="8.88671875" hidden="1" customWidth="1"/>
    <col min="3" max="3" width="47.33203125" customWidth="1"/>
    <col min="4" max="4" width="4.88671875" bestFit="1" customWidth="1"/>
    <col min="5" max="6" width="10.6640625" customWidth="1"/>
    <col min="7" max="7" width="7.44140625" hidden="1" customWidth="1"/>
    <col min="8" max="8" width="5.21875" hidden="1" customWidth="1"/>
    <col min="9" max="9" width="3.44140625" hidden="1" customWidth="1"/>
    <col min="10" max="10" width="17.33203125" style="55" customWidth="1"/>
    <col min="11" max="11" width="2.33203125" hidden="1" customWidth="1"/>
    <col min="12" max="12" width="14" customWidth="1"/>
    <col min="13" max="13" width="17.21875" customWidth="1"/>
    <col min="14" max="14" width="9.109375" hidden="1" customWidth="1"/>
    <col min="15" max="15" width="19.109375" customWidth="1"/>
    <col min="16" max="16" width="15.77734375" style="45" customWidth="1"/>
    <col min="17" max="17" width="13.109375" customWidth="1"/>
    <col min="18" max="18" width="23.77734375" hidden="1" customWidth="1"/>
  </cols>
  <sheetData>
    <row r="1" spans="1:17" s="1" customFormat="1" ht="36" customHeight="1" thickBot="1" x14ac:dyDescent="0.25">
      <c r="A1" s="106" t="s">
        <v>606</v>
      </c>
      <c r="B1" s="106" t="s">
        <v>651</v>
      </c>
      <c r="C1" s="106" t="s">
        <v>607</v>
      </c>
      <c r="D1" s="107" t="s">
        <v>0</v>
      </c>
      <c r="E1" s="108" t="s">
        <v>1</v>
      </c>
      <c r="F1" s="108" t="s">
        <v>650</v>
      </c>
      <c r="G1" s="109" t="s">
        <v>2</v>
      </c>
      <c r="H1" s="109" t="s">
        <v>3</v>
      </c>
      <c r="I1" s="108" t="s">
        <v>4</v>
      </c>
      <c r="J1" s="186" t="s">
        <v>612</v>
      </c>
      <c r="K1" s="110" t="s">
        <v>5</v>
      </c>
      <c r="L1" s="56" t="s">
        <v>613</v>
      </c>
      <c r="M1" s="57" t="s">
        <v>614</v>
      </c>
      <c r="N1" s="111" t="s">
        <v>6</v>
      </c>
      <c r="O1" s="153" t="s">
        <v>225</v>
      </c>
      <c r="P1" s="112" t="s">
        <v>615</v>
      </c>
      <c r="Q1" s="113" t="s">
        <v>616</v>
      </c>
    </row>
    <row r="2" spans="1:17" s="1" customFormat="1" ht="30.6" customHeight="1" thickBot="1" x14ac:dyDescent="0.25">
      <c r="A2" s="115"/>
      <c r="B2" s="116"/>
      <c r="C2" s="103" t="s">
        <v>226</v>
      </c>
      <c r="D2" s="117"/>
      <c r="E2" s="118"/>
      <c r="F2" s="118"/>
      <c r="G2" s="119"/>
      <c r="H2" s="119"/>
      <c r="I2" s="117"/>
      <c r="J2" s="120"/>
      <c r="K2" s="121"/>
      <c r="L2" s="105"/>
      <c r="M2" s="88"/>
      <c r="N2" s="122"/>
      <c r="O2" s="122"/>
      <c r="P2" s="123"/>
      <c r="Q2" s="124"/>
    </row>
    <row r="3" spans="1:17" ht="46.2" customHeight="1" x14ac:dyDescent="0.3">
      <c r="A3" s="34">
        <v>1</v>
      </c>
      <c r="B3" s="79" t="s">
        <v>605</v>
      </c>
      <c r="C3" s="156" t="s">
        <v>533</v>
      </c>
      <c r="D3" s="34" t="s">
        <v>9</v>
      </c>
      <c r="E3" s="34" t="s">
        <v>608</v>
      </c>
      <c r="F3" s="141">
        <f>60+0</f>
        <v>60</v>
      </c>
      <c r="G3" s="34"/>
      <c r="H3" s="34"/>
      <c r="I3" s="34"/>
      <c r="J3" s="190"/>
      <c r="K3" s="141"/>
      <c r="L3" s="187"/>
      <c r="M3" s="36">
        <v>0.21</v>
      </c>
      <c r="N3" s="34"/>
      <c r="O3" s="34"/>
      <c r="P3" s="114"/>
      <c r="Q3" s="168"/>
    </row>
    <row r="4" spans="1:17" ht="55.2" customHeight="1" x14ac:dyDescent="0.3">
      <c r="A4" s="20">
        <v>2</v>
      </c>
      <c r="B4" s="46" t="s">
        <v>11</v>
      </c>
      <c r="C4" s="156" t="s">
        <v>534</v>
      </c>
      <c r="D4" s="34" t="s">
        <v>9</v>
      </c>
      <c r="E4" s="34" t="s">
        <v>608</v>
      </c>
      <c r="F4" s="34">
        <f>60+0</f>
        <v>60</v>
      </c>
      <c r="G4" s="34"/>
      <c r="H4" s="34"/>
      <c r="I4" s="34"/>
      <c r="J4" s="49"/>
      <c r="K4" s="34"/>
      <c r="L4" s="35"/>
      <c r="M4" s="36">
        <v>0.21</v>
      </c>
      <c r="N4" s="20"/>
      <c r="O4" s="48"/>
      <c r="P4" s="40"/>
      <c r="Q4" s="34"/>
    </row>
    <row r="5" spans="1:17" ht="38.4" customHeight="1" x14ac:dyDescent="0.3">
      <c r="A5" s="20">
        <v>3</v>
      </c>
      <c r="B5" s="46" t="s">
        <v>12</v>
      </c>
      <c r="C5" s="156" t="s">
        <v>535</v>
      </c>
      <c r="D5" s="20" t="s">
        <v>9</v>
      </c>
      <c r="E5" s="34" t="s">
        <v>608</v>
      </c>
      <c r="F5" s="34">
        <f>100+0</f>
        <v>100</v>
      </c>
      <c r="G5" s="20"/>
      <c r="H5" s="20"/>
      <c r="I5" s="20"/>
      <c r="J5" s="49"/>
      <c r="K5" s="20"/>
      <c r="L5" s="35"/>
      <c r="M5" s="21">
        <v>0.21</v>
      </c>
      <c r="N5" s="20"/>
      <c r="O5" s="48"/>
      <c r="P5" s="40"/>
      <c r="Q5" s="20"/>
    </row>
    <row r="6" spans="1:17" ht="43.2" customHeight="1" x14ac:dyDescent="0.3">
      <c r="A6" s="20">
        <v>4</v>
      </c>
      <c r="B6" s="46" t="s">
        <v>13</v>
      </c>
      <c r="C6" s="156" t="s">
        <v>536</v>
      </c>
      <c r="D6" s="20" t="s">
        <v>9</v>
      </c>
      <c r="E6" s="34" t="s">
        <v>608</v>
      </c>
      <c r="F6" s="34">
        <f>150+1916</f>
        <v>2066</v>
      </c>
      <c r="G6" s="20"/>
      <c r="H6" s="20"/>
      <c r="I6" s="20"/>
      <c r="J6" s="49"/>
      <c r="K6" s="20"/>
      <c r="L6" s="35"/>
      <c r="M6" s="21">
        <v>0.21</v>
      </c>
      <c r="N6" s="20"/>
      <c r="O6" s="48"/>
      <c r="P6" s="40"/>
      <c r="Q6" s="20"/>
    </row>
    <row r="7" spans="1:17" ht="46.8" customHeight="1" x14ac:dyDescent="0.3">
      <c r="A7" s="20">
        <v>5</v>
      </c>
      <c r="B7" s="46" t="s">
        <v>14</v>
      </c>
      <c r="C7" s="156" t="s">
        <v>537</v>
      </c>
      <c r="D7" s="20" t="s">
        <v>9</v>
      </c>
      <c r="E7" s="34" t="s">
        <v>608</v>
      </c>
      <c r="F7" s="48">
        <f>600+0</f>
        <v>600</v>
      </c>
      <c r="G7" s="20"/>
      <c r="H7" s="20"/>
      <c r="I7" s="20"/>
      <c r="J7" s="49"/>
      <c r="K7" s="20"/>
      <c r="L7" s="35"/>
      <c r="M7" s="21">
        <v>0.21</v>
      </c>
      <c r="N7" s="20"/>
      <c r="O7" s="48"/>
      <c r="P7" s="40"/>
      <c r="Q7" s="20"/>
    </row>
    <row r="8" spans="1:17" ht="40.799999999999997" customHeight="1" x14ac:dyDescent="0.3">
      <c r="A8" s="20">
        <v>6</v>
      </c>
      <c r="B8" s="46" t="s">
        <v>15</v>
      </c>
      <c r="C8" s="156" t="s">
        <v>538</v>
      </c>
      <c r="D8" s="20" t="s">
        <v>9</v>
      </c>
      <c r="E8" s="34" t="s">
        <v>608</v>
      </c>
      <c r="F8" s="48">
        <f>1000+1580</f>
        <v>2580</v>
      </c>
      <c r="G8" s="20"/>
      <c r="H8" s="20"/>
      <c r="I8" s="20"/>
      <c r="J8" s="49"/>
      <c r="K8" s="20"/>
      <c r="L8" s="35"/>
      <c r="M8" s="21">
        <v>0.21</v>
      </c>
      <c r="N8" s="20"/>
      <c r="O8" s="48"/>
      <c r="P8" s="40"/>
      <c r="Q8" s="20"/>
    </row>
    <row r="9" spans="1:17" ht="39.6" customHeight="1" x14ac:dyDescent="0.3">
      <c r="A9" s="20">
        <v>7</v>
      </c>
      <c r="B9" s="46" t="s">
        <v>16</v>
      </c>
      <c r="C9" s="156" t="s">
        <v>539</v>
      </c>
      <c r="D9" s="20" t="s">
        <v>9</v>
      </c>
      <c r="E9" s="34" t="s">
        <v>608</v>
      </c>
      <c r="F9" s="48">
        <f>150+2637</f>
        <v>2787</v>
      </c>
      <c r="G9" s="20"/>
      <c r="H9" s="20"/>
      <c r="I9" s="20"/>
      <c r="J9" s="49"/>
      <c r="K9" s="20"/>
      <c r="L9" s="35"/>
      <c r="M9" s="21">
        <v>0.21</v>
      </c>
      <c r="N9" s="20"/>
      <c r="O9" s="48"/>
      <c r="P9" s="40"/>
      <c r="Q9" s="20"/>
    </row>
    <row r="10" spans="1:17" ht="40.799999999999997" customHeight="1" x14ac:dyDescent="0.3">
      <c r="A10" s="20">
        <v>8</v>
      </c>
      <c r="B10" s="46" t="s">
        <v>17</v>
      </c>
      <c r="C10" s="166" t="s">
        <v>228</v>
      </c>
      <c r="D10" s="20" t="s">
        <v>9</v>
      </c>
      <c r="E10" s="34" t="s">
        <v>608</v>
      </c>
      <c r="F10" s="48">
        <f>150+791</f>
        <v>941</v>
      </c>
      <c r="G10" s="20"/>
      <c r="H10" s="20"/>
      <c r="I10" s="20"/>
      <c r="J10" s="49"/>
      <c r="K10" s="20"/>
      <c r="L10" s="35"/>
      <c r="M10" s="21">
        <v>0.21</v>
      </c>
      <c r="N10" s="20"/>
      <c r="O10" s="48"/>
      <c r="P10" s="40"/>
      <c r="Q10" s="20"/>
    </row>
    <row r="11" spans="1:17" ht="58.8" customHeight="1" x14ac:dyDescent="0.3">
      <c r="A11" s="20">
        <v>9</v>
      </c>
      <c r="B11" s="46" t="s">
        <v>18</v>
      </c>
      <c r="C11" s="156" t="s">
        <v>542</v>
      </c>
      <c r="D11" s="20" t="s">
        <v>9</v>
      </c>
      <c r="E11" s="34" t="s">
        <v>608</v>
      </c>
      <c r="F11" s="48">
        <f>200+0</f>
        <v>200</v>
      </c>
      <c r="G11" s="20"/>
      <c r="H11" s="20"/>
      <c r="I11" s="20"/>
      <c r="J11" s="49"/>
      <c r="K11" s="20"/>
      <c r="L11" s="35"/>
      <c r="M11" s="21">
        <v>0.21</v>
      </c>
      <c r="N11" s="20"/>
      <c r="O11" s="48"/>
      <c r="P11" s="40"/>
      <c r="Q11" s="20"/>
    </row>
    <row r="12" spans="1:17" ht="60" customHeight="1" x14ac:dyDescent="0.3">
      <c r="A12" s="20">
        <v>10</v>
      </c>
      <c r="B12" s="46" t="s">
        <v>19</v>
      </c>
      <c r="C12" s="156" t="s">
        <v>540</v>
      </c>
      <c r="D12" s="20" t="s">
        <v>9</v>
      </c>
      <c r="E12" s="34" t="s">
        <v>608</v>
      </c>
      <c r="F12" s="48">
        <f>400+606</f>
        <v>1006</v>
      </c>
      <c r="G12" s="20"/>
      <c r="H12" s="20"/>
      <c r="I12" s="20"/>
      <c r="J12" s="49"/>
      <c r="K12" s="20"/>
      <c r="L12" s="35"/>
      <c r="M12" s="21">
        <v>0.21</v>
      </c>
      <c r="N12" s="20"/>
      <c r="O12" s="48"/>
      <c r="P12" s="40"/>
      <c r="Q12" s="20"/>
    </row>
    <row r="13" spans="1:17" ht="39" customHeight="1" x14ac:dyDescent="0.3">
      <c r="A13" s="20">
        <v>11</v>
      </c>
      <c r="B13" s="46" t="s">
        <v>20</v>
      </c>
      <c r="C13" s="156" t="s">
        <v>541</v>
      </c>
      <c r="D13" s="20" t="s">
        <v>9</v>
      </c>
      <c r="E13" s="34" t="s">
        <v>608</v>
      </c>
      <c r="F13" s="48">
        <f>200+0</f>
        <v>200</v>
      </c>
      <c r="G13" s="20"/>
      <c r="H13" s="20"/>
      <c r="I13" s="20"/>
      <c r="J13" s="49"/>
      <c r="K13" s="20"/>
      <c r="L13" s="35"/>
      <c r="M13" s="21">
        <v>0.21</v>
      </c>
      <c r="N13" s="20"/>
      <c r="O13" s="48"/>
      <c r="P13" s="40"/>
      <c r="Q13" s="20"/>
    </row>
    <row r="14" spans="1:17" ht="57" customHeight="1" x14ac:dyDescent="0.3">
      <c r="A14" s="20">
        <v>12</v>
      </c>
      <c r="B14" s="46" t="s">
        <v>21</v>
      </c>
      <c r="C14" s="156" t="s">
        <v>543</v>
      </c>
      <c r="D14" s="20" t="s">
        <v>9</v>
      </c>
      <c r="E14" s="34" t="s">
        <v>608</v>
      </c>
      <c r="F14" s="48">
        <f>100+0</f>
        <v>100</v>
      </c>
      <c r="G14" s="20"/>
      <c r="H14" s="20"/>
      <c r="I14" s="20"/>
      <c r="J14" s="49"/>
      <c r="K14" s="20"/>
      <c r="L14" s="35"/>
      <c r="M14" s="21">
        <v>0.21</v>
      </c>
      <c r="N14" s="20"/>
      <c r="O14" s="48"/>
      <c r="P14" s="40"/>
      <c r="Q14" s="20"/>
    </row>
    <row r="15" spans="1:17" ht="57" customHeight="1" x14ac:dyDescent="0.3">
      <c r="A15" s="20">
        <v>13</v>
      </c>
      <c r="B15" s="46" t="s">
        <v>22</v>
      </c>
      <c r="C15" s="156" t="s">
        <v>230</v>
      </c>
      <c r="D15" s="20" t="s">
        <v>9</v>
      </c>
      <c r="E15" s="34" t="s">
        <v>608</v>
      </c>
      <c r="F15" s="48">
        <f>150+762</f>
        <v>912</v>
      </c>
      <c r="G15" s="20"/>
      <c r="H15" s="20"/>
      <c r="I15" s="20"/>
      <c r="J15" s="49"/>
      <c r="K15" s="20"/>
      <c r="L15" s="35"/>
      <c r="M15" s="21">
        <v>0.21</v>
      </c>
      <c r="N15" s="20"/>
      <c r="O15" s="48"/>
      <c r="P15" s="40"/>
      <c r="Q15" s="20"/>
    </row>
    <row r="16" spans="1:17" ht="57" customHeight="1" x14ac:dyDescent="0.3">
      <c r="A16" s="20">
        <v>14</v>
      </c>
      <c r="B16" s="46" t="s">
        <v>23</v>
      </c>
      <c r="C16" s="156" t="s">
        <v>232</v>
      </c>
      <c r="D16" s="20" t="s">
        <v>9</v>
      </c>
      <c r="E16" s="34" t="s">
        <v>608</v>
      </c>
      <c r="F16" s="48">
        <f>40+516</f>
        <v>556</v>
      </c>
      <c r="G16" s="20"/>
      <c r="H16" s="20"/>
      <c r="I16" s="20"/>
      <c r="J16" s="49"/>
      <c r="K16" s="20"/>
      <c r="L16" s="35"/>
      <c r="M16" s="21">
        <v>0.21</v>
      </c>
      <c r="N16" s="20"/>
      <c r="O16" s="48"/>
      <c r="P16" s="40"/>
      <c r="Q16" s="20"/>
    </row>
    <row r="17" spans="1:18" ht="48.6" customHeight="1" x14ac:dyDescent="0.3">
      <c r="A17" s="20">
        <v>15</v>
      </c>
      <c r="B17" s="46" t="s">
        <v>24</v>
      </c>
      <c r="C17" s="156" t="s">
        <v>234</v>
      </c>
      <c r="D17" s="20" t="s">
        <v>9</v>
      </c>
      <c r="E17" s="34" t="s">
        <v>608</v>
      </c>
      <c r="F17" s="48">
        <f>40+1038</f>
        <v>1078</v>
      </c>
      <c r="G17" s="20"/>
      <c r="H17" s="20"/>
      <c r="I17" s="20"/>
      <c r="J17" s="49"/>
      <c r="K17" s="20"/>
      <c r="L17" s="35"/>
      <c r="M17" s="21">
        <v>0.21</v>
      </c>
      <c r="N17" s="20"/>
      <c r="O17" s="48"/>
      <c r="P17" s="40"/>
      <c r="Q17" s="20"/>
      <c r="R17" s="20">
        <v>6469431</v>
      </c>
    </row>
    <row r="18" spans="1:18" ht="56.4" customHeight="1" x14ac:dyDescent="0.3">
      <c r="A18" s="20">
        <v>16</v>
      </c>
      <c r="B18" s="46" t="s">
        <v>25</v>
      </c>
      <c r="C18" s="156" t="s">
        <v>544</v>
      </c>
      <c r="D18" s="20" t="s">
        <v>9</v>
      </c>
      <c r="E18" s="34" t="s">
        <v>608</v>
      </c>
      <c r="F18" s="48">
        <f>100+286</f>
        <v>386</v>
      </c>
      <c r="G18" s="20"/>
      <c r="H18" s="20"/>
      <c r="I18" s="20"/>
      <c r="J18" s="49"/>
      <c r="K18" s="20"/>
      <c r="L18" s="35"/>
      <c r="M18" s="21">
        <v>0.21</v>
      </c>
      <c r="N18" s="20"/>
      <c r="O18" s="48"/>
      <c r="P18" s="40"/>
      <c r="Q18" s="170"/>
      <c r="R18" s="20">
        <v>12429398</v>
      </c>
    </row>
    <row r="19" spans="1:18" ht="39.6" customHeight="1" x14ac:dyDescent="0.3">
      <c r="A19" s="20">
        <v>17</v>
      </c>
      <c r="B19" s="46" t="s">
        <v>26</v>
      </c>
      <c r="C19" s="156" t="s">
        <v>545</v>
      </c>
      <c r="D19" s="20" t="s">
        <v>9</v>
      </c>
      <c r="E19" s="34" t="s">
        <v>608</v>
      </c>
      <c r="F19" s="48">
        <f>20+256</f>
        <v>276</v>
      </c>
      <c r="G19" s="20"/>
      <c r="H19" s="20"/>
      <c r="I19" s="20"/>
      <c r="J19" s="49"/>
      <c r="K19" s="20"/>
      <c r="L19" s="35"/>
      <c r="M19" s="21">
        <v>0.21</v>
      </c>
      <c r="N19" s="20"/>
      <c r="O19" s="48"/>
      <c r="P19" s="40"/>
      <c r="Q19" s="20"/>
      <c r="R19" s="20">
        <v>105558</v>
      </c>
    </row>
    <row r="20" spans="1:18" ht="40.799999999999997" customHeight="1" x14ac:dyDescent="0.3">
      <c r="A20" s="20">
        <v>18</v>
      </c>
      <c r="B20" s="46" t="s">
        <v>223</v>
      </c>
      <c r="C20" s="156" t="s">
        <v>546</v>
      </c>
      <c r="D20" s="20" t="s">
        <v>9</v>
      </c>
      <c r="E20" s="34" t="s">
        <v>608</v>
      </c>
      <c r="F20" s="48">
        <f>200+112</f>
        <v>312</v>
      </c>
      <c r="G20" s="27"/>
      <c r="H20" s="27"/>
      <c r="I20" s="26"/>
      <c r="J20" s="53"/>
      <c r="K20" s="28"/>
      <c r="L20" s="23"/>
      <c r="M20" s="21">
        <v>0.21</v>
      </c>
      <c r="N20" s="29"/>
      <c r="O20" s="151"/>
      <c r="P20" s="39"/>
      <c r="Q20" s="20"/>
      <c r="R20" s="20">
        <v>109995</v>
      </c>
    </row>
    <row r="21" spans="1:18" ht="44.4" customHeight="1" thickBot="1" x14ac:dyDescent="0.35">
      <c r="A21" s="67">
        <v>19</v>
      </c>
      <c r="B21" s="68"/>
      <c r="C21" s="157" t="s">
        <v>547</v>
      </c>
      <c r="D21" s="69" t="s">
        <v>9</v>
      </c>
      <c r="E21" s="34" t="s">
        <v>608</v>
      </c>
      <c r="F21" s="67">
        <f>100+0</f>
        <v>100</v>
      </c>
      <c r="G21" s="91"/>
      <c r="H21" s="91"/>
      <c r="I21" s="92"/>
      <c r="J21" s="72"/>
      <c r="K21" s="73"/>
      <c r="L21" s="93"/>
      <c r="M21" s="94">
        <v>0.21</v>
      </c>
      <c r="N21" s="95"/>
      <c r="O21" s="95"/>
      <c r="P21" s="96"/>
      <c r="Q21" s="67"/>
      <c r="R21" s="66" t="s">
        <v>224</v>
      </c>
    </row>
    <row r="22" spans="1:18" s="2" customFormat="1" ht="28.8" customHeight="1" thickBot="1" x14ac:dyDescent="0.25">
      <c r="A22" s="102"/>
      <c r="B22" s="83"/>
      <c r="C22" s="158" t="s">
        <v>302</v>
      </c>
      <c r="D22" s="83"/>
      <c r="E22" s="83"/>
      <c r="F22" s="83"/>
      <c r="G22" s="85"/>
      <c r="H22" s="85"/>
      <c r="I22" s="83"/>
      <c r="J22" s="86"/>
      <c r="K22" s="87"/>
      <c r="L22" s="105"/>
      <c r="M22" s="88"/>
      <c r="N22" s="89"/>
      <c r="O22" s="89"/>
      <c r="P22" s="90"/>
      <c r="Q22" s="84"/>
    </row>
    <row r="23" spans="1:18" s="2" customFormat="1" ht="38.4" customHeight="1" x14ac:dyDescent="0.3">
      <c r="A23" s="34">
        <v>20</v>
      </c>
      <c r="B23" s="79" t="s">
        <v>27</v>
      </c>
      <c r="C23" s="156" t="s">
        <v>238</v>
      </c>
      <c r="D23" s="34" t="s">
        <v>9</v>
      </c>
      <c r="E23" s="34" t="s">
        <v>608</v>
      </c>
      <c r="F23" s="34">
        <f>100+0</f>
        <v>100</v>
      </c>
      <c r="G23" s="97"/>
      <c r="H23" s="97"/>
      <c r="I23" s="98"/>
      <c r="J23" s="80"/>
      <c r="K23" s="99"/>
      <c r="L23" s="187"/>
      <c r="M23" s="36">
        <v>0.21</v>
      </c>
      <c r="N23" s="100"/>
      <c r="O23" s="100"/>
      <c r="P23" s="81" t="s">
        <v>617</v>
      </c>
      <c r="Q23" s="169"/>
    </row>
    <row r="24" spans="1:18" s="2" customFormat="1" ht="43.8" customHeight="1" x14ac:dyDescent="0.3">
      <c r="A24" s="20">
        <v>21</v>
      </c>
      <c r="B24" s="46" t="s">
        <v>28</v>
      </c>
      <c r="C24" s="156" t="s">
        <v>240</v>
      </c>
      <c r="D24" s="20" t="s">
        <v>9</v>
      </c>
      <c r="E24" s="48" t="s">
        <v>608</v>
      </c>
      <c r="F24" s="48">
        <f>150+1563</f>
        <v>1713</v>
      </c>
      <c r="G24" s="27"/>
      <c r="H24" s="27"/>
      <c r="I24" s="26"/>
      <c r="J24" s="51"/>
      <c r="K24" s="28"/>
      <c r="L24" s="188"/>
      <c r="M24" s="21">
        <v>0.21</v>
      </c>
      <c r="N24" s="29"/>
      <c r="O24" s="151"/>
      <c r="P24" s="58" t="s">
        <v>617</v>
      </c>
      <c r="Q24" s="30"/>
    </row>
    <row r="25" spans="1:18" s="2" customFormat="1" ht="31.8" customHeight="1" x14ac:dyDescent="0.3">
      <c r="A25" s="20">
        <v>22</v>
      </c>
      <c r="B25" s="46" t="s">
        <v>29</v>
      </c>
      <c r="C25" s="156" t="s">
        <v>242</v>
      </c>
      <c r="D25" s="20" t="s">
        <v>9</v>
      </c>
      <c r="E25" s="34" t="s">
        <v>608</v>
      </c>
      <c r="F25" s="48">
        <f>40+0</f>
        <v>40</v>
      </c>
      <c r="G25" s="27"/>
      <c r="H25" s="27"/>
      <c r="I25" s="26"/>
      <c r="J25" s="51"/>
      <c r="K25" s="28"/>
      <c r="L25" s="188"/>
      <c r="M25" s="21">
        <v>0.21</v>
      </c>
      <c r="N25" s="29"/>
      <c r="O25" s="151"/>
      <c r="P25" s="58" t="s">
        <v>618</v>
      </c>
      <c r="Q25" s="30"/>
    </row>
    <row r="26" spans="1:18" s="2" customFormat="1" ht="40.799999999999997" customHeight="1" x14ac:dyDescent="0.3">
      <c r="A26" s="20">
        <v>23</v>
      </c>
      <c r="B26" s="46" t="s">
        <v>30</v>
      </c>
      <c r="C26" s="156" t="s">
        <v>244</v>
      </c>
      <c r="D26" s="20" t="s">
        <v>9</v>
      </c>
      <c r="E26" s="48" t="s">
        <v>608</v>
      </c>
      <c r="F26" s="48">
        <f>40+83</f>
        <v>123</v>
      </c>
      <c r="G26" s="27"/>
      <c r="H26" s="27"/>
      <c r="I26" s="26"/>
      <c r="J26" s="51"/>
      <c r="K26" s="28"/>
      <c r="L26" s="188"/>
      <c r="M26" s="21">
        <v>0.21</v>
      </c>
      <c r="N26" s="29"/>
      <c r="O26" s="151"/>
      <c r="P26" s="58" t="s">
        <v>619</v>
      </c>
      <c r="Q26" s="30"/>
    </row>
    <row r="27" spans="1:18" s="2" customFormat="1" ht="36.6" customHeight="1" x14ac:dyDescent="0.3">
      <c r="A27" s="20">
        <v>24</v>
      </c>
      <c r="B27" s="46" t="s">
        <v>31</v>
      </c>
      <c r="C27" s="156" t="s">
        <v>246</v>
      </c>
      <c r="D27" s="20" t="s">
        <v>9</v>
      </c>
      <c r="E27" s="34" t="s">
        <v>608</v>
      </c>
      <c r="F27" s="48">
        <f>100+5716</f>
        <v>5816</v>
      </c>
      <c r="G27" s="27"/>
      <c r="H27" s="27"/>
      <c r="I27" s="26"/>
      <c r="J27" s="51"/>
      <c r="K27" s="28"/>
      <c r="L27" s="188"/>
      <c r="M27" s="21">
        <v>0.21</v>
      </c>
      <c r="N27" s="29"/>
      <c r="O27" s="151"/>
      <c r="P27" s="39"/>
      <c r="Q27" s="30"/>
    </row>
    <row r="28" spans="1:18" s="2" customFormat="1" ht="14.4" x14ac:dyDescent="0.3">
      <c r="A28" s="20">
        <v>25</v>
      </c>
      <c r="B28" s="46" t="s">
        <v>32</v>
      </c>
      <c r="C28" s="156" t="s">
        <v>248</v>
      </c>
      <c r="D28" s="20" t="s">
        <v>9</v>
      </c>
      <c r="E28" s="48" t="s">
        <v>608</v>
      </c>
      <c r="F28" s="48">
        <f>50+151</f>
        <v>201</v>
      </c>
      <c r="G28" s="27"/>
      <c r="H28" s="27"/>
      <c r="I28" s="26"/>
      <c r="J28" s="51"/>
      <c r="K28" s="28"/>
      <c r="L28" s="188"/>
      <c r="M28" s="21">
        <v>0.21</v>
      </c>
      <c r="N28" s="29"/>
      <c r="O28" s="151"/>
      <c r="P28" s="39"/>
      <c r="Q28" s="30"/>
    </row>
    <row r="29" spans="1:18" s="2" customFormat="1" ht="44.4" customHeight="1" x14ac:dyDescent="0.3">
      <c r="A29" s="20">
        <v>26</v>
      </c>
      <c r="B29" s="46" t="s">
        <v>33</v>
      </c>
      <c r="C29" s="156" t="s">
        <v>548</v>
      </c>
      <c r="D29" s="20" t="s">
        <v>9</v>
      </c>
      <c r="E29" s="34" t="s">
        <v>608</v>
      </c>
      <c r="F29" s="48">
        <f>100+0</f>
        <v>100</v>
      </c>
      <c r="G29" s="27"/>
      <c r="H29" s="27"/>
      <c r="I29" s="26"/>
      <c r="J29" s="51"/>
      <c r="K29" s="28"/>
      <c r="L29" s="188"/>
      <c r="M29" s="21">
        <v>0.21</v>
      </c>
      <c r="N29" s="29"/>
      <c r="O29" s="151"/>
      <c r="P29" s="58" t="s">
        <v>617</v>
      </c>
      <c r="Q29" s="30"/>
    </row>
    <row r="30" spans="1:18" s="2" customFormat="1" ht="64.8" customHeight="1" x14ac:dyDescent="0.3">
      <c r="A30" s="20">
        <v>27</v>
      </c>
      <c r="B30" s="46" t="s">
        <v>34</v>
      </c>
      <c r="C30" s="156" t="s">
        <v>549</v>
      </c>
      <c r="D30" s="20" t="s">
        <v>9</v>
      </c>
      <c r="E30" s="48" t="s">
        <v>608</v>
      </c>
      <c r="F30" s="48">
        <f>200+182</f>
        <v>382</v>
      </c>
      <c r="G30" s="27"/>
      <c r="H30" s="27"/>
      <c r="I30" s="26"/>
      <c r="J30" s="51"/>
      <c r="K30" s="28"/>
      <c r="L30" s="188"/>
      <c r="M30" s="21">
        <v>0.21</v>
      </c>
      <c r="N30" s="29"/>
      <c r="O30" s="151"/>
      <c r="P30" s="58" t="s">
        <v>620</v>
      </c>
      <c r="Q30" s="30"/>
    </row>
    <row r="31" spans="1:18" s="2" customFormat="1" ht="72" customHeight="1" x14ac:dyDescent="0.3">
      <c r="A31" s="20">
        <v>28</v>
      </c>
      <c r="B31" s="46" t="s">
        <v>35</v>
      </c>
      <c r="C31" s="156" t="s">
        <v>550</v>
      </c>
      <c r="D31" s="20" t="s">
        <v>9</v>
      </c>
      <c r="E31" s="34" t="s">
        <v>608</v>
      </c>
      <c r="F31" s="48">
        <f>100+83</f>
        <v>183</v>
      </c>
      <c r="G31" s="27"/>
      <c r="H31" s="27"/>
      <c r="I31" s="26"/>
      <c r="J31" s="51"/>
      <c r="K31" s="28"/>
      <c r="L31" s="188"/>
      <c r="M31" s="21">
        <v>0.21</v>
      </c>
      <c r="N31" s="29"/>
      <c r="O31" s="151"/>
      <c r="P31" s="58" t="s">
        <v>620</v>
      </c>
      <c r="Q31" s="30"/>
    </row>
    <row r="32" spans="1:18" s="2" customFormat="1" ht="56.4" customHeight="1" x14ac:dyDescent="0.3">
      <c r="A32" s="20">
        <v>29</v>
      </c>
      <c r="B32" s="46" t="s">
        <v>36</v>
      </c>
      <c r="C32" s="156" t="s">
        <v>551</v>
      </c>
      <c r="D32" s="20" t="s">
        <v>9</v>
      </c>
      <c r="E32" s="48" t="s">
        <v>608</v>
      </c>
      <c r="F32" s="48">
        <f>100+0</f>
        <v>100</v>
      </c>
      <c r="G32" s="27"/>
      <c r="H32" s="27"/>
      <c r="I32" s="26"/>
      <c r="J32" s="51"/>
      <c r="K32" s="28"/>
      <c r="L32" s="188"/>
      <c r="M32" s="21">
        <v>0.21</v>
      </c>
      <c r="N32" s="29"/>
      <c r="O32" s="151"/>
      <c r="P32" s="58" t="s">
        <v>620</v>
      </c>
      <c r="Q32" s="30"/>
    </row>
    <row r="33" spans="1:17" s="2" customFormat="1" ht="60.6" customHeight="1" x14ac:dyDescent="0.3">
      <c r="A33" s="20">
        <v>30</v>
      </c>
      <c r="B33" s="46" t="s">
        <v>37</v>
      </c>
      <c r="C33" s="156" t="s">
        <v>552</v>
      </c>
      <c r="D33" s="20" t="s">
        <v>9</v>
      </c>
      <c r="E33" s="34" t="s">
        <v>608</v>
      </c>
      <c r="F33" s="48">
        <f>20+7</f>
        <v>27</v>
      </c>
      <c r="G33" s="27"/>
      <c r="H33" s="27"/>
      <c r="I33" s="26"/>
      <c r="J33" s="51"/>
      <c r="K33" s="28"/>
      <c r="L33" s="188"/>
      <c r="M33" s="21">
        <v>0.21</v>
      </c>
      <c r="N33" s="29"/>
      <c r="O33" s="151"/>
      <c r="P33" s="58" t="s">
        <v>619</v>
      </c>
      <c r="Q33" s="30"/>
    </row>
    <row r="34" spans="1:17" s="2" customFormat="1" ht="51.6" customHeight="1" x14ac:dyDescent="0.3">
      <c r="A34" s="20">
        <v>31</v>
      </c>
      <c r="B34" s="46" t="s">
        <v>38</v>
      </c>
      <c r="C34" s="156" t="s">
        <v>553</v>
      </c>
      <c r="D34" s="20" t="s">
        <v>9</v>
      </c>
      <c r="E34" s="48" t="s">
        <v>608</v>
      </c>
      <c r="F34" s="48">
        <f>10+3</f>
        <v>13</v>
      </c>
      <c r="G34" s="27"/>
      <c r="H34" s="27"/>
      <c r="I34" s="26"/>
      <c r="J34" s="51"/>
      <c r="K34" s="28"/>
      <c r="L34" s="188"/>
      <c r="M34" s="21">
        <v>0.21</v>
      </c>
      <c r="N34" s="29"/>
      <c r="O34" s="151"/>
      <c r="P34" s="58" t="s">
        <v>619</v>
      </c>
      <c r="Q34" s="30"/>
    </row>
    <row r="35" spans="1:17" s="2" customFormat="1" ht="47.4" customHeight="1" x14ac:dyDescent="0.3">
      <c r="A35" s="20">
        <v>32</v>
      </c>
      <c r="B35" s="46" t="s">
        <v>39</v>
      </c>
      <c r="C35" s="156" t="s">
        <v>554</v>
      </c>
      <c r="D35" s="20" t="s">
        <v>9</v>
      </c>
      <c r="E35" s="34" t="s">
        <v>608</v>
      </c>
      <c r="F35" s="48">
        <f>20+4</f>
        <v>24</v>
      </c>
      <c r="G35" s="27"/>
      <c r="H35" s="27"/>
      <c r="I35" s="26"/>
      <c r="J35" s="51"/>
      <c r="K35" s="28"/>
      <c r="L35" s="188"/>
      <c r="M35" s="21">
        <v>0.21</v>
      </c>
      <c r="N35" s="29"/>
      <c r="O35" s="151"/>
      <c r="P35" s="58" t="s">
        <v>619</v>
      </c>
      <c r="Q35" s="30"/>
    </row>
    <row r="36" spans="1:17" s="2" customFormat="1" ht="49.8" customHeight="1" x14ac:dyDescent="0.3">
      <c r="A36" s="20">
        <v>33</v>
      </c>
      <c r="B36" s="46" t="s">
        <v>40</v>
      </c>
      <c r="C36" s="156" t="s">
        <v>555</v>
      </c>
      <c r="D36" s="20" t="s">
        <v>9</v>
      </c>
      <c r="E36" s="48" t="s">
        <v>608</v>
      </c>
      <c r="F36" s="48">
        <f>5+0</f>
        <v>5</v>
      </c>
      <c r="G36" s="27"/>
      <c r="H36" s="27"/>
      <c r="I36" s="26"/>
      <c r="J36" s="51"/>
      <c r="K36" s="28"/>
      <c r="L36" s="188"/>
      <c r="M36" s="21">
        <v>0.21</v>
      </c>
      <c r="N36" s="29"/>
      <c r="O36" s="151"/>
      <c r="P36" s="58" t="s">
        <v>619</v>
      </c>
      <c r="Q36" s="30"/>
    </row>
    <row r="37" spans="1:17" s="2" customFormat="1" ht="51.6" customHeight="1" x14ac:dyDescent="0.3">
      <c r="A37" s="20">
        <v>34</v>
      </c>
      <c r="B37" s="46" t="s">
        <v>41</v>
      </c>
      <c r="C37" s="156" t="s">
        <v>556</v>
      </c>
      <c r="D37" s="20" t="s">
        <v>9</v>
      </c>
      <c r="E37" s="34" t="s">
        <v>608</v>
      </c>
      <c r="F37" s="48">
        <f>10+56</f>
        <v>66</v>
      </c>
      <c r="G37" s="27"/>
      <c r="H37" s="27"/>
      <c r="I37" s="26"/>
      <c r="J37" s="51"/>
      <c r="K37" s="28"/>
      <c r="L37" s="188"/>
      <c r="M37" s="21">
        <v>0.21</v>
      </c>
      <c r="N37" s="29"/>
      <c r="O37" s="151"/>
      <c r="P37" s="58" t="s">
        <v>619</v>
      </c>
      <c r="Q37" s="30"/>
    </row>
    <row r="38" spans="1:17" s="2" customFormat="1" ht="57" customHeight="1" x14ac:dyDescent="0.3">
      <c r="A38" s="20">
        <v>35</v>
      </c>
      <c r="B38" s="46" t="s">
        <v>42</v>
      </c>
      <c r="C38" s="156" t="s">
        <v>557</v>
      </c>
      <c r="D38" s="20" t="s">
        <v>9</v>
      </c>
      <c r="E38" s="48" t="s">
        <v>608</v>
      </c>
      <c r="F38" s="48">
        <f>5+0</f>
        <v>5</v>
      </c>
      <c r="G38" s="27"/>
      <c r="H38" s="27"/>
      <c r="I38" s="26"/>
      <c r="J38" s="51"/>
      <c r="K38" s="28"/>
      <c r="L38" s="188"/>
      <c r="M38" s="21">
        <v>0.21</v>
      </c>
      <c r="N38" s="29"/>
      <c r="O38" s="151"/>
      <c r="P38" s="58" t="s">
        <v>619</v>
      </c>
      <c r="Q38" s="30"/>
    </row>
    <row r="39" spans="1:17" s="2" customFormat="1" ht="58.8" customHeight="1" x14ac:dyDescent="0.3">
      <c r="A39" s="20">
        <v>36</v>
      </c>
      <c r="B39" s="46" t="s">
        <v>43</v>
      </c>
      <c r="C39" s="156" t="s">
        <v>250</v>
      </c>
      <c r="D39" s="20" t="s">
        <v>9</v>
      </c>
      <c r="E39" s="34" t="s">
        <v>608</v>
      </c>
      <c r="F39" s="48">
        <f>20+977</f>
        <v>997</v>
      </c>
      <c r="G39" s="27"/>
      <c r="H39" s="27"/>
      <c r="I39" s="26"/>
      <c r="J39" s="51"/>
      <c r="K39" s="28"/>
      <c r="L39" s="188"/>
      <c r="M39" s="21">
        <v>0.21</v>
      </c>
      <c r="N39" s="29"/>
      <c r="O39" s="151"/>
      <c r="P39" s="58" t="s">
        <v>621</v>
      </c>
      <c r="Q39" s="30"/>
    </row>
    <row r="40" spans="1:17" s="2" customFormat="1" ht="31.2" customHeight="1" x14ac:dyDescent="0.3">
      <c r="A40" s="20">
        <v>37</v>
      </c>
      <c r="B40" s="46" t="s">
        <v>44</v>
      </c>
      <c r="C40" s="156" t="s">
        <v>558</v>
      </c>
      <c r="D40" s="20" t="s">
        <v>9</v>
      </c>
      <c r="E40" s="48" t="s">
        <v>608</v>
      </c>
      <c r="F40" s="48">
        <f>250+549</f>
        <v>799</v>
      </c>
      <c r="G40" s="27"/>
      <c r="H40" s="27"/>
      <c r="I40" s="26"/>
      <c r="J40" s="51"/>
      <c r="K40" s="28"/>
      <c r="L40" s="188"/>
      <c r="M40" s="21">
        <v>0.21</v>
      </c>
      <c r="N40" s="29"/>
      <c r="O40" s="151"/>
      <c r="P40" s="39"/>
      <c r="Q40" s="30"/>
    </row>
    <row r="41" spans="1:17" s="2" customFormat="1" ht="37.799999999999997" customHeight="1" x14ac:dyDescent="0.3">
      <c r="A41" s="20">
        <v>38</v>
      </c>
      <c r="B41" s="46" t="s">
        <v>45</v>
      </c>
      <c r="C41" s="156" t="s">
        <v>559</v>
      </c>
      <c r="D41" s="20" t="s">
        <v>9</v>
      </c>
      <c r="E41" s="34" t="s">
        <v>608</v>
      </c>
      <c r="F41" s="48">
        <f>100+0</f>
        <v>100</v>
      </c>
      <c r="G41" s="27"/>
      <c r="H41" s="27"/>
      <c r="I41" s="26"/>
      <c r="J41" s="51"/>
      <c r="K41" s="28"/>
      <c r="L41" s="188"/>
      <c r="M41" s="21">
        <v>0.21</v>
      </c>
      <c r="N41" s="29"/>
      <c r="O41" s="151"/>
      <c r="P41" s="39"/>
      <c r="Q41" s="30"/>
    </row>
    <row r="42" spans="1:17" s="2" customFormat="1" ht="36" customHeight="1" x14ac:dyDescent="0.3">
      <c r="A42" s="20">
        <v>39</v>
      </c>
      <c r="B42" s="46" t="s">
        <v>46</v>
      </c>
      <c r="C42" s="156" t="s">
        <v>560</v>
      </c>
      <c r="D42" s="20" t="s">
        <v>9</v>
      </c>
      <c r="E42" s="48" t="s">
        <v>608</v>
      </c>
      <c r="F42" s="48">
        <f>250+304</f>
        <v>554</v>
      </c>
      <c r="G42" s="27"/>
      <c r="H42" s="27"/>
      <c r="I42" s="26"/>
      <c r="J42" s="51"/>
      <c r="K42" s="28"/>
      <c r="L42" s="188"/>
      <c r="M42" s="21">
        <v>0.21</v>
      </c>
      <c r="N42" s="29"/>
      <c r="O42" s="151"/>
      <c r="P42" s="39"/>
      <c r="Q42" s="30"/>
    </row>
    <row r="43" spans="1:17" s="2" customFormat="1" ht="42" customHeight="1" x14ac:dyDescent="0.3">
      <c r="A43" s="20">
        <v>40</v>
      </c>
      <c r="B43" s="46" t="s">
        <v>47</v>
      </c>
      <c r="C43" s="156" t="s">
        <v>561</v>
      </c>
      <c r="D43" s="20" t="s">
        <v>9</v>
      </c>
      <c r="E43" s="34" t="s">
        <v>608</v>
      </c>
      <c r="F43" s="48">
        <f>100+204</f>
        <v>304</v>
      </c>
      <c r="G43" s="27"/>
      <c r="H43" s="27"/>
      <c r="I43" s="26"/>
      <c r="J43" s="51"/>
      <c r="K43" s="28"/>
      <c r="L43" s="188"/>
      <c r="M43" s="21">
        <v>0.21</v>
      </c>
      <c r="N43" s="29"/>
      <c r="O43" s="151"/>
      <c r="P43" s="39"/>
      <c r="Q43" s="30"/>
    </row>
    <row r="44" spans="1:17" s="2" customFormat="1" ht="51" customHeight="1" x14ac:dyDescent="0.3">
      <c r="A44" s="20">
        <v>41</v>
      </c>
      <c r="B44" s="46" t="s">
        <v>48</v>
      </c>
      <c r="C44" s="156" t="s">
        <v>562</v>
      </c>
      <c r="D44" s="20" t="s">
        <v>9</v>
      </c>
      <c r="E44" s="48" t="s">
        <v>608</v>
      </c>
      <c r="F44" s="48">
        <f>10+129</f>
        <v>139</v>
      </c>
      <c r="G44" s="27"/>
      <c r="H44" s="27"/>
      <c r="I44" s="26"/>
      <c r="J44" s="51"/>
      <c r="K44" s="28"/>
      <c r="L44" s="188"/>
      <c r="M44" s="21">
        <v>0.21</v>
      </c>
      <c r="N44" s="29"/>
      <c r="O44" s="151"/>
      <c r="P44" s="58" t="s">
        <v>618</v>
      </c>
      <c r="Q44" s="30"/>
    </row>
    <row r="45" spans="1:17" s="2" customFormat="1" ht="51" customHeight="1" x14ac:dyDescent="0.3">
      <c r="A45" s="20">
        <v>42</v>
      </c>
      <c r="B45" s="46" t="s">
        <v>49</v>
      </c>
      <c r="C45" s="156" t="s">
        <v>563</v>
      </c>
      <c r="D45" s="20" t="s">
        <v>9</v>
      </c>
      <c r="E45" s="34" t="s">
        <v>608</v>
      </c>
      <c r="F45" s="48">
        <f>10+66</f>
        <v>76</v>
      </c>
      <c r="G45" s="27"/>
      <c r="H45" s="27"/>
      <c r="I45" s="26"/>
      <c r="J45" s="51"/>
      <c r="K45" s="28"/>
      <c r="L45" s="188"/>
      <c r="M45" s="21">
        <v>0.21</v>
      </c>
      <c r="N45" s="29"/>
      <c r="O45" s="151"/>
      <c r="P45" s="58" t="s">
        <v>618</v>
      </c>
      <c r="Q45" s="30"/>
    </row>
    <row r="46" spans="1:17" s="2" customFormat="1" ht="51.6" customHeight="1" x14ac:dyDescent="0.3">
      <c r="A46" s="20">
        <v>43</v>
      </c>
      <c r="B46" s="46" t="s">
        <v>50</v>
      </c>
      <c r="C46" s="156" t="s">
        <v>564</v>
      </c>
      <c r="D46" s="20" t="s">
        <v>9</v>
      </c>
      <c r="E46" s="48" t="s">
        <v>608</v>
      </c>
      <c r="F46" s="48">
        <f>200+2453</f>
        <v>2653</v>
      </c>
      <c r="G46" s="27"/>
      <c r="H46" s="27"/>
      <c r="I46" s="26"/>
      <c r="J46" s="51"/>
      <c r="K46" s="28"/>
      <c r="L46" s="188"/>
      <c r="M46" s="21">
        <v>0.21</v>
      </c>
      <c r="N46" s="29"/>
      <c r="O46" s="151"/>
      <c r="P46" s="39"/>
      <c r="Q46" s="30"/>
    </row>
    <row r="47" spans="1:17" s="2" customFormat="1" ht="68.400000000000006" customHeight="1" x14ac:dyDescent="0.3">
      <c r="A47" s="20">
        <v>44</v>
      </c>
      <c r="B47" s="46" t="s">
        <v>51</v>
      </c>
      <c r="C47" s="156" t="s">
        <v>565</v>
      </c>
      <c r="D47" s="20" t="s">
        <v>9</v>
      </c>
      <c r="E47" s="34" t="s">
        <v>608</v>
      </c>
      <c r="F47" s="48">
        <f>400+9129</f>
        <v>9529</v>
      </c>
      <c r="G47" s="27"/>
      <c r="H47" s="27"/>
      <c r="I47" s="26"/>
      <c r="J47" s="51"/>
      <c r="K47" s="28"/>
      <c r="L47" s="188"/>
      <c r="M47" s="21">
        <v>0.21</v>
      </c>
      <c r="N47" s="29"/>
      <c r="O47" s="151"/>
      <c r="P47" s="39"/>
      <c r="Q47" s="30"/>
    </row>
    <row r="48" spans="1:17" s="2" customFormat="1" ht="60.6" customHeight="1" x14ac:dyDescent="0.3">
      <c r="A48" s="20">
        <v>45</v>
      </c>
      <c r="B48" s="46" t="s">
        <v>52</v>
      </c>
      <c r="C48" s="156" t="s">
        <v>566</v>
      </c>
      <c r="D48" s="20" t="s">
        <v>9</v>
      </c>
      <c r="E48" s="48" t="s">
        <v>608</v>
      </c>
      <c r="F48" s="48">
        <f>100+1109</f>
        <v>1209</v>
      </c>
      <c r="G48" s="27"/>
      <c r="H48" s="27"/>
      <c r="I48" s="26"/>
      <c r="J48" s="51"/>
      <c r="K48" s="28"/>
      <c r="L48" s="188"/>
      <c r="M48" s="21">
        <v>0.21</v>
      </c>
      <c r="N48" s="29"/>
      <c r="O48" s="151"/>
      <c r="P48" s="58" t="s">
        <v>618</v>
      </c>
      <c r="Q48" s="30"/>
    </row>
    <row r="49" spans="1:18" s="2" customFormat="1" ht="59.4" customHeight="1" x14ac:dyDescent="0.3">
      <c r="A49" s="20">
        <v>46</v>
      </c>
      <c r="B49" s="46" t="s">
        <v>53</v>
      </c>
      <c r="C49" s="156" t="s">
        <v>567</v>
      </c>
      <c r="D49" s="20" t="s">
        <v>9</v>
      </c>
      <c r="E49" s="34" t="s">
        <v>608</v>
      </c>
      <c r="F49" s="48">
        <f>250+10316</f>
        <v>10566</v>
      </c>
      <c r="G49" s="27"/>
      <c r="H49" s="27"/>
      <c r="I49" s="26"/>
      <c r="J49" s="51"/>
      <c r="K49" s="28"/>
      <c r="L49" s="188"/>
      <c r="M49" s="21">
        <v>0.21</v>
      </c>
      <c r="N49" s="29"/>
      <c r="O49" s="151"/>
      <c r="P49" s="39"/>
      <c r="Q49" s="30"/>
    </row>
    <row r="50" spans="1:18" s="2" customFormat="1" ht="56.4" customHeight="1" x14ac:dyDescent="0.3">
      <c r="A50" s="20">
        <v>47</v>
      </c>
      <c r="B50" s="46" t="s">
        <v>54</v>
      </c>
      <c r="C50" s="156" t="s">
        <v>568</v>
      </c>
      <c r="D50" s="20" t="s">
        <v>9</v>
      </c>
      <c r="E50" s="48" t="s">
        <v>608</v>
      </c>
      <c r="F50" s="48">
        <f>50+0</f>
        <v>50</v>
      </c>
      <c r="G50" s="27"/>
      <c r="H50" s="27"/>
      <c r="I50" s="26"/>
      <c r="J50" s="51"/>
      <c r="K50" s="28"/>
      <c r="L50" s="188"/>
      <c r="M50" s="21">
        <v>0.21</v>
      </c>
      <c r="N50" s="29"/>
      <c r="O50" s="151"/>
      <c r="P50" s="39"/>
      <c r="Q50" s="30"/>
    </row>
    <row r="51" spans="1:18" s="2" customFormat="1" ht="52.8" customHeight="1" x14ac:dyDescent="0.3">
      <c r="A51" s="20">
        <v>48</v>
      </c>
      <c r="B51" s="46" t="s">
        <v>55</v>
      </c>
      <c r="C51" s="156" t="s">
        <v>569</v>
      </c>
      <c r="D51" s="20" t="s">
        <v>9</v>
      </c>
      <c r="E51" s="34" t="s">
        <v>608</v>
      </c>
      <c r="F51" s="48">
        <f>60+0</f>
        <v>60</v>
      </c>
      <c r="G51" s="27"/>
      <c r="H51" s="27"/>
      <c r="I51" s="26"/>
      <c r="J51" s="51"/>
      <c r="K51" s="28"/>
      <c r="L51" s="188"/>
      <c r="M51" s="21">
        <v>0.21</v>
      </c>
      <c r="N51" s="29"/>
      <c r="O51" s="151"/>
      <c r="P51" s="39"/>
      <c r="Q51" s="30"/>
    </row>
    <row r="52" spans="1:18" s="2" customFormat="1" ht="47.4" customHeight="1" x14ac:dyDescent="0.3">
      <c r="A52" s="20">
        <v>49</v>
      </c>
      <c r="B52" s="46" t="s">
        <v>56</v>
      </c>
      <c r="C52" s="156" t="s">
        <v>570</v>
      </c>
      <c r="D52" s="20" t="s">
        <v>9</v>
      </c>
      <c r="E52" s="48" t="s">
        <v>608</v>
      </c>
      <c r="F52" s="48">
        <f>60+642</f>
        <v>702</v>
      </c>
      <c r="G52" s="27"/>
      <c r="H52" s="27"/>
      <c r="I52" s="26"/>
      <c r="J52" s="51"/>
      <c r="K52" s="28"/>
      <c r="L52" s="188"/>
      <c r="M52" s="21">
        <v>0.21</v>
      </c>
      <c r="N52" s="29"/>
      <c r="O52" s="151"/>
      <c r="P52" s="39"/>
      <c r="Q52" s="30"/>
    </row>
    <row r="53" spans="1:18" s="2" customFormat="1" ht="41.4" customHeight="1" x14ac:dyDescent="0.3">
      <c r="A53" s="20">
        <v>50</v>
      </c>
      <c r="B53" s="46" t="s">
        <v>57</v>
      </c>
      <c r="C53" s="156" t="s">
        <v>708</v>
      </c>
      <c r="D53" s="20" t="s">
        <v>9</v>
      </c>
      <c r="E53" s="34" t="s">
        <v>608</v>
      </c>
      <c r="F53" s="48">
        <f>60+189</f>
        <v>249</v>
      </c>
      <c r="G53" s="27"/>
      <c r="H53" s="27"/>
      <c r="I53" s="26"/>
      <c r="J53" s="51"/>
      <c r="K53" s="28"/>
      <c r="L53" s="188"/>
      <c r="M53" s="21">
        <v>0.21</v>
      </c>
      <c r="N53" s="29"/>
      <c r="O53" s="151"/>
      <c r="P53" s="39"/>
      <c r="Q53" s="30"/>
    </row>
    <row r="54" spans="1:18" s="2" customFormat="1" ht="74.400000000000006" customHeight="1" x14ac:dyDescent="0.3">
      <c r="A54" s="20">
        <v>51</v>
      </c>
      <c r="B54" s="46" t="s">
        <v>58</v>
      </c>
      <c r="C54" s="156" t="s">
        <v>253</v>
      </c>
      <c r="D54" s="20" t="s">
        <v>9</v>
      </c>
      <c r="E54" s="48" t="s">
        <v>608</v>
      </c>
      <c r="F54" s="48">
        <f>400+1775</f>
        <v>2175</v>
      </c>
      <c r="G54" s="27"/>
      <c r="H54" s="27"/>
      <c r="I54" s="26"/>
      <c r="J54" s="51"/>
      <c r="K54" s="28"/>
      <c r="L54" s="188"/>
      <c r="M54" s="21">
        <v>0.21</v>
      </c>
      <c r="N54" s="29"/>
      <c r="O54" s="151"/>
      <c r="P54" s="39"/>
      <c r="Q54" s="30"/>
    </row>
    <row r="55" spans="1:18" s="2" customFormat="1" ht="42.6" customHeight="1" x14ac:dyDescent="0.3">
      <c r="A55" s="20">
        <v>52</v>
      </c>
      <c r="B55" s="46" t="s">
        <v>59</v>
      </c>
      <c r="C55" s="156" t="s">
        <v>255</v>
      </c>
      <c r="D55" s="20" t="s">
        <v>9</v>
      </c>
      <c r="E55" s="34" t="s">
        <v>608</v>
      </c>
      <c r="F55" s="48">
        <f>100+1554</f>
        <v>1654</v>
      </c>
      <c r="G55" s="27"/>
      <c r="H55" s="27"/>
      <c r="I55" s="26"/>
      <c r="J55" s="51"/>
      <c r="K55" s="28"/>
      <c r="L55" s="188"/>
      <c r="M55" s="21">
        <v>0.21</v>
      </c>
      <c r="N55" s="29"/>
      <c r="O55" s="151"/>
      <c r="P55" s="58" t="s">
        <v>618</v>
      </c>
      <c r="Q55" s="30"/>
    </row>
    <row r="56" spans="1:18" s="2" customFormat="1" ht="55.2" customHeight="1" x14ac:dyDescent="0.3">
      <c r="A56" s="20">
        <v>53</v>
      </c>
      <c r="B56" s="46" t="s">
        <v>60</v>
      </c>
      <c r="C56" s="156" t="s">
        <v>257</v>
      </c>
      <c r="D56" s="20" t="s">
        <v>9</v>
      </c>
      <c r="E56" s="48" t="s">
        <v>608</v>
      </c>
      <c r="F56" s="48">
        <f>60+1254</f>
        <v>1314</v>
      </c>
      <c r="G56" s="27"/>
      <c r="H56" s="27"/>
      <c r="I56" s="26"/>
      <c r="J56" s="51"/>
      <c r="K56" s="28"/>
      <c r="L56" s="188"/>
      <c r="M56" s="21">
        <v>0.21</v>
      </c>
      <c r="N56" s="29"/>
      <c r="O56" s="151"/>
      <c r="P56" s="58" t="s">
        <v>618</v>
      </c>
      <c r="Q56" s="30"/>
    </row>
    <row r="57" spans="1:18" s="2" customFormat="1" ht="28.2" customHeight="1" x14ac:dyDescent="0.3">
      <c r="A57" s="20">
        <v>54</v>
      </c>
      <c r="B57" s="46" t="s">
        <v>61</v>
      </c>
      <c r="C57" s="156" t="s">
        <v>259</v>
      </c>
      <c r="D57" s="20" t="s">
        <v>9</v>
      </c>
      <c r="E57" s="34" t="s">
        <v>608</v>
      </c>
      <c r="F57" s="48">
        <f>60+184</f>
        <v>244</v>
      </c>
      <c r="G57" s="27"/>
      <c r="H57" s="27"/>
      <c r="I57" s="26"/>
      <c r="J57" s="51"/>
      <c r="K57" s="28"/>
      <c r="L57" s="188"/>
      <c r="M57" s="21">
        <v>0.21</v>
      </c>
      <c r="N57" s="29"/>
      <c r="O57" s="151"/>
      <c r="P57" s="39"/>
      <c r="Q57" s="30"/>
    </row>
    <row r="58" spans="1:18" s="2" customFormat="1" ht="31.8" customHeight="1" x14ac:dyDescent="0.3">
      <c r="A58" s="20">
        <v>55</v>
      </c>
      <c r="B58" s="46" t="s">
        <v>62</v>
      </c>
      <c r="C58" s="156" t="s">
        <v>261</v>
      </c>
      <c r="D58" s="20" t="s">
        <v>9</v>
      </c>
      <c r="E58" s="48" t="s">
        <v>608</v>
      </c>
      <c r="F58" s="48">
        <f>30+0</f>
        <v>30</v>
      </c>
      <c r="G58" s="27"/>
      <c r="H58" s="27"/>
      <c r="I58" s="26"/>
      <c r="J58" s="51"/>
      <c r="K58" s="28"/>
      <c r="L58" s="188"/>
      <c r="M58" s="21">
        <v>0.21</v>
      </c>
      <c r="N58" s="29"/>
      <c r="O58" s="151"/>
      <c r="P58" s="39"/>
      <c r="Q58" s="30"/>
    </row>
    <row r="59" spans="1:18" s="2" customFormat="1" ht="33" customHeight="1" x14ac:dyDescent="0.3">
      <c r="A59" s="20">
        <v>56</v>
      </c>
      <c r="B59" s="46" t="s">
        <v>63</v>
      </c>
      <c r="C59" s="156" t="s">
        <v>571</v>
      </c>
      <c r="D59" s="20" t="s">
        <v>9</v>
      </c>
      <c r="E59" s="34" t="s">
        <v>608</v>
      </c>
      <c r="F59" s="48">
        <f>100+418</f>
        <v>518</v>
      </c>
      <c r="G59" s="27"/>
      <c r="H59" s="27"/>
      <c r="I59" s="26"/>
      <c r="J59" s="51"/>
      <c r="K59" s="28"/>
      <c r="L59" s="188"/>
      <c r="M59" s="21">
        <v>0.21</v>
      </c>
      <c r="N59" s="29"/>
      <c r="O59" s="151"/>
      <c r="P59" s="58" t="s">
        <v>619</v>
      </c>
      <c r="Q59" s="30"/>
    </row>
    <row r="60" spans="1:18" s="2" customFormat="1" ht="33" customHeight="1" x14ac:dyDescent="0.3">
      <c r="A60" s="20">
        <v>57</v>
      </c>
      <c r="B60" s="46" t="s">
        <v>64</v>
      </c>
      <c r="C60" s="156" t="s">
        <v>572</v>
      </c>
      <c r="D60" s="20" t="s">
        <v>9</v>
      </c>
      <c r="E60" s="48" t="s">
        <v>608</v>
      </c>
      <c r="F60" s="48">
        <f>100+68</f>
        <v>168</v>
      </c>
      <c r="G60" s="27"/>
      <c r="H60" s="27"/>
      <c r="I60" s="26"/>
      <c r="J60" s="51"/>
      <c r="K60" s="28"/>
      <c r="L60" s="188"/>
      <c r="M60" s="21">
        <v>0.21</v>
      </c>
      <c r="N60" s="29"/>
      <c r="O60" s="151"/>
      <c r="P60" s="58" t="s">
        <v>619</v>
      </c>
      <c r="Q60" s="30"/>
      <c r="R60" s="20">
        <v>135142</v>
      </c>
    </row>
    <row r="61" spans="1:18" s="2" customFormat="1" ht="33" customHeight="1" x14ac:dyDescent="0.3">
      <c r="A61" s="20">
        <v>58</v>
      </c>
      <c r="B61" s="46" t="s">
        <v>65</v>
      </c>
      <c r="C61" s="156" t="s">
        <v>573</v>
      </c>
      <c r="D61" s="20" t="s">
        <v>9</v>
      </c>
      <c r="E61" s="34" t="s">
        <v>608</v>
      </c>
      <c r="F61" s="48">
        <f>100+148</f>
        <v>248</v>
      </c>
      <c r="G61" s="27"/>
      <c r="H61" s="27"/>
      <c r="I61" s="26"/>
      <c r="J61" s="51"/>
      <c r="K61" s="28"/>
      <c r="L61" s="188"/>
      <c r="M61" s="21">
        <v>0.21</v>
      </c>
      <c r="N61" s="29"/>
      <c r="O61" s="151"/>
      <c r="P61" s="58" t="s">
        <v>619</v>
      </c>
      <c r="Q61" s="30"/>
      <c r="R61" s="20">
        <v>135153</v>
      </c>
    </row>
    <row r="62" spans="1:18" s="2" customFormat="1" ht="33" customHeight="1" x14ac:dyDescent="0.3">
      <c r="A62" s="20">
        <v>59</v>
      </c>
      <c r="B62" s="46" t="s">
        <v>66</v>
      </c>
      <c r="C62" s="156" t="s">
        <v>574</v>
      </c>
      <c r="D62" s="20" t="s">
        <v>9</v>
      </c>
      <c r="E62" s="48" t="s">
        <v>608</v>
      </c>
      <c r="F62" s="48">
        <f>10+0</f>
        <v>10</v>
      </c>
      <c r="G62" s="27"/>
      <c r="H62" s="27"/>
      <c r="I62" s="26"/>
      <c r="J62" s="51"/>
      <c r="K62" s="28"/>
      <c r="L62" s="188"/>
      <c r="M62" s="21">
        <v>0.21</v>
      </c>
      <c r="N62" s="29"/>
      <c r="O62" s="151"/>
      <c r="P62" s="58" t="s">
        <v>619</v>
      </c>
      <c r="Q62" s="30"/>
      <c r="R62" s="20">
        <v>134489</v>
      </c>
    </row>
    <row r="63" spans="1:18" s="2" customFormat="1" ht="31.2" customHeight="1" x14ac:dyDescent="0.3">
      <c r="A63" s="20">
        <v>60</v>
      </c>
      <c r="B63" s="46" t="s">
        <v>67</v>
      </c>
      <c r="C63" s="156" t="s">
        <v>263</v>
      </c>
      <c r="D63" s="20" t="s">
        <v>9</v>
      </c>
      <c r="E63" s="34" t="s">
        <v>608</v>
      </c>
      <c r="F63" s="48">
        <f>200+2547</f>
        <v>2747</v>
      </c>
      <c r="G63" s="27"/>
      <c r="H63" s="27"/>
      <c r="I63" s="26"/>
      <c r="J63" s="51"/>
      <c r="K63" s="28"/>
      <c r="L63" s="188"/>
      <c r="M63" s="21">
        <v>0.21</v>
      </c>
      <c r="N63" s="29"/>
      <c r="O63" s="151"/>
      <c r="P63" s="39"/>
      <c r="Q63" s="30"/>
      <c r="R63" s="20"/>
    </row>
    <row r="64" spans="1:18" s="2" customFormat="1" ht="20.399999999999999" customHeight="1" x14ac:dyDescent="0.3">
      <c r="A64" s="22">
        <v>61</v>
      </c>
      <c r="B64" s="60" t="s">
        <v>68</v>
      </c>
      <c r="C64" s="159" t="s">
        <v>265</v>
      </c>
      <c r="D64" s="20" t="s">
        <v>9</v>
      </c>
      <c r="E64" s="48" t="s">
        <v>608</v>
      </c>
      <c r="F64" s="48">
        <f>200+56</f>
        <v>256</v>
      </c>
      <c r="G64" s="27"/>
      <c r="H64" s="27"/>
      <c r="I64" s="26"/>
      <c r="J64" s="51"/>
      <c r="K64" s="28"/>
      <c r="L64" s="188"/>
      <c r="M64" s="21">
        <v>0.21</v>
      </c>
      <c r="N64" s="29"/>
      <c r="O64" s="151"/>
      <c r="P64" s="58" t="s">
        <v>617</v>
      </c>
      <c r="Q64" s="171"/>
      <c r="R64" s="20">
        <v>4163464</v>
      </c>
    </row>
    <row r="65" spans="1:18" s="2" customFormat="1" ht="37.200000000000003" customHeight="1" x14ac:dyDescent="0.3">
      <c r="A65" s="22">
        <v>62</v>
      </c>
      <c r="B65" s="46" t="s">
        <v>69</v>
      </c>
      <c r="C65" s="159" t="s">
        <v>267</v>
      </c>
      <c r="D65" s="20" t="s">
        <v>9</v>
      </c>
      <c r="E65" s="34" t="s">
        <v>608</v>
      </c>
      <c r="F65" s="48">
        <f>600+661</f>
        <v>1261</v>
      </c>
      <c r="G65" s="27"/>
      <c r="H65" s="27"/>
      <c r="I65" s="26"/>
      <c r="J65" s="51"/>
      <c r="K65" s="28"/>
      <c r="L65" s="188"/>
      <c r="M65" s="21">
        <v>0.21</v>
      </c>
      <c r="N65" s="29"/>
      <c r="O65" s="151"/>
      <c r="P65" s="58" t="s">
        <v>608</v>
      </c>
      <c r="Q65" s="30"/>
      <c r="R65" s="20">
        <v>5018777</v>
      </c>
    </row>
    <row r="66" spans="1:18" s="2" customFormat="1" ht="57.6" customHeight="1" x14ac:dyDescent="0.3">
      <c r="A66" s="20">
        <v>63</v>
      </c>
      <c r="B66" s="46" t="s">
        <v>70</v>
      </c>
      <c r="C66" s="156" t="s">
        <v>575</v>
      </c>
      <c r="D66" s="20" t="s">
        <v>9</v>
      </c>
      <c r="E66" s="48" t="s">
        <v>608</v>
      </c>
      <c r="F66" s="48">
        <f>30+78</f>
        <v>108</v>
      </c>
      <c r="G66" s="27"/>
      <c r="H66" s="27"/>
      <c r="I66" s="26"/>
      <c r="J66" s="51"/>
      <c r="K66" s="28"/>
      <c r="L66" s="188"/>
      <c r="M66" s="21">
        <v>0.21</v>
      </c>
      <c r="N66" s="29"/>
      <c r="O66" s="151"/>
      <c r="P66" s="39"/>
      <c r="Q66" s="30"/>
      <c r="R66" s="20"/>
    </row>
    <row r="67" spans="1:18" s="25" customFormat="1" ht="42.6" customHeight="1" x14ac:dyDescent="0.3">
      <c r="A67" s="20">
        <v>64</v>
      </c>
      <c r="B67" s="46" t="s">
        <v>71</v>
      </c>
      <c r="C67" s="156" t="s">
        <v>576</v>
      </c>
      <c r="D67" s="20" t="s">
        <v>9</v>
      </c>
      <c r="E67" s="34" t="s">
        <v>608</v>
      </c>
      <c r="F67" s="48">
        <f>10+25</f>
        <v>35</v>
      </c>
      <c r="G67" s="22"/>
      <c r="H67" s="22"/>
      <c r="I67" s="22"/>
      <c r="J67" s="51"/>
      <c r="K67" s="22"/>
      <c r="L67" s="188"/>
      <c r="M67" s="21">
        <v>0.21</v>
      </c>
      <c r="N67" s="22"/>
      <c r="O67" s="152"/>
      <c r="P67" s="41"/>
      <c r="Q67" s="22"/>
      <c r="R67" s="20">
        <v>4565769</v>
      </c>
    </row>
    <row r="68" spans="1:18" ht="32.4" customHeight="1" x14ac:dyDescent="0.3">
      <c r="A68" s="20">
        <v>65</v>
      </c>
      <c r="B68" s="46" t="s">
        <v>72</v>
      </c>
      <c r="C68" s="156" t="s">
        <v>263</v>
      </c>
      <c r="D68" s="20" t="s">
        <v>9</v>
      </c>
      <c r="E68" s="48" t="s">
        <v>608</v>
      </c>
      <c r="F68" s="48">
        <f>200+6773</f>
        <v>6973</v>
      </c>
      <c r="G68" s="20"/>
      <c r="H68" s="20"/>
      <c r="I68" s="20"/>
      <c r="J68" s="51"/>
      <c r="K68" s="22"/>
      <c r="L68" s="188"/>
      <c r="M68" s="21">
        <v>0.21</v>
      </c>
      <c r="N68" s="20"/>
      <c r="O68" s="48"/>
      <c r="P68" s="40"/>
      <c r="Q68" s="20"/>
      <c r="R68" s="20"/>
    </row>
    <row r="69" spans="1:18" s="59" customFormat="1" ht="32.4" customHeight="1" x14ac:dyDescent="0.3">
      <c r="A69" s="22">
        <v>66</v>
      </c>
      <c r="B69" s="46" t="s">
        <v>73</v>
      </c>
      <c r="C69" s="156" t="s">
        <v>269</v>
      </c>
      <c r="D69" s="20" t="s">
        <v>9</v>
      </c>
      <c r="E69" s="34" t="s">
        <v>608</v>
      </c>
      <c r="F69" s="48">
        <f>10+0</f>
        <v>10</v>
      </c>
      <c r="G69" s="20"/>
      <c r="H69" s="20"/>
      <c r="I69" s="20"/>
      <c r="J69" s="51"/>
      <c r="K69" s="22"/>
      <c r="L69" s="188"/>
      <c r="M69" s="21">
        <v>0.21</v>
      </c>
      <c r="N69" s="20"/>
      <c r="O69" s="48"/>
      <c r="P69" s="62" t="s">
        <v>618</v>
      </c>
      <c r="Q69" s="170"/>
      <c r="R69" s="20">
        <v>123538</v>
      </c>
    </row>
    <row r="70" spans="1:18" s="59" customFormat="1" ht="22.8" customHeight="1" thickBot="1" x14ac:dyDescent="0.35">
      <c r="A70" s="67">
        <v>67</v>
      </c>
      <c r="B70" s="68" t="s">
        <v>106</v>
      </c>
      <c r="C70" s="157" t="s">
        <v>271</v>
      </c>
      <c r="D70" s="69" t="s">
        <v>9</v>
      </c>
      <c r="E70" s="48" t="s">
        <v>608</v>
      </c>
      <c r="F70" s="69">
        <f>60+353</f>
        <v>413</v>
      </c>
      <c r="G70" s="70"/>
      <c r="H70" s="70"/>
      <c r="I70" s="71"/>
      <c r="J70" s="72"/>
      <c r="K70" s="73"/>
      <c r="L70" s="74"/>
      <c r="M70" s="75">
        <v>0.21</v>
      </c>
      <c r="N70" s="76"/>
      <c r="O70" s="95"/>
      <c r="P70" s="77" t="s">
        <v>618</v>
      </c>
      <c r="Q70" s="78"/>
      <c r="R70" s="20">
        <v>2797299</v>
      </c>
    </row>
    <row r="71" spans="1:18" s="2" customFormat="1" ht="10.8" thickBot="1" x14ac:dyDescent="0.25">
      <c r="A71" s="82"/>
      <c r="B71" s="83"/>
      <c r="C71" s="160" t="s">
        <v>304</v>
      </c>
      <c r="D71" s="83"/>
      <c r="E71" s="83"/>
      <c r="F71" s="83"/>
      <c r="G71" s="85"/>
      <c r="H71" s="85"/>
      <c r="I71" s="83"/>
      <c r="J71" s="86"/>
      <c r="K71" s="87"/>
      <c r="L71" s="86"/>
      <c r="M71" s="88"/>
      <c r="N71" s="89"/>
      <c r="O71" s="89"/>
      <c r="P71" s="90"/>
      <c r="Q71" s="84"/>
    </row>
    <row r="72" spans="1:18" s="59" customFormat="1" ht="42" customHeight="1" x14ac:dyDescent="0.3">
      <c r="A72" s="34">
        <v>68</v>
      </c>
      <c r="B72" s="79" t="s">
        <v>74</v>
      </c>
      <c r="C72" s="156" t="s">
        <v>273</v>
      </c>
      <c r="D72" s="34" t="s">
        <v>9</v>
      </c>
      <c r="E72" s="34" t="s">
        <v>608</v>
      </c>
      <c r="F72" s="34">
        <f>200+312</f>
        <v>512</v>
      </c>
      <c r="G72" s="34"/>
      <c r="H72" s="34"/>
      <c r="I72" s="34"/>
      <c r="J72" s="80"/>
      <c r="K72" s="141"/>
      <c r="L72" s="187"/>
      <c r="M72" s="36">
        <v>0.21</v>
      </c>
      <c r="N72" s="34"/>
      <c r="O72" s="34"/>
      <c r="P72" s="81"/>
      <c r="Q72" s="34"/>
    </row>
    <row r="73" spans="1:18" ht="35.4" customHeight="1" x14ac:dyDescent="0.3">
      <c r="A73" s="20">
        <v>69</v>
      </c>
      <c r="B73" s="46" t="s">
        <v>75</v>
      </c>
      <c r="C73" s="156" t="s">
        <v>577</v>
      </c>
      <c r="D73" s="20" t="s">
        <v>9</v>
      </c>
      <c r="E73" s="34" t="s">
        <v>608</v>
      </c>
      <c r="F73" s="48">
        <f>300+3501</f>
        <v>3801</v>
      </c>
      <c r="G73" s="20"/>
      <c r="H73" s="20"/>
      <c r="I73" s="20"/>
      <c r="J73" s="53"/>
      <c r="K73" s="22"/>
      <c r="L73" s="188"/>
      <c r="M73" s="21">
        <v>0.21</v>
      </c>
      <c r="N73" s="20"/>
      <c r="O73" s="48"/>
      <c r="P73" s="40"/>
      <c r="Q73" s="20"/>
    </row>
    <row r="74" spans="1:18" ht="41.4" customHeight="1" x14ac:dyDescent="0.3">
      <c r="A74" s="20">
        <v>70</v>
      </c>
      <c r="B74" s="46" t="s">
        <v>76</v>
      </c>
      <c r="C74" s="156" t="s">
        <v>578</v>
      </c>
      <c r="D74" s="20" t="s">
        <v>9</v>
      </c>
      <c r="E74" s="34" t="s">
        <v>608</v>
      </c>
      <c r="F74" s="48">
        <f>300+3850</f>
        <v>4150</v>
      </c>
      <c r="G74" s="20"/>
      <c r="H74" s="20"/>
      <c r="I74" s="20"/>
      <c r="J74" s="51"/>
      <c r="K74" s="22"/>
      <c r="L74" s="188"/>
      <c r="M74" s="21">
        <v>0.21</v>
      </c>
      <c r="N74" s="20"/>
      <c r="O74" s="48"/>
      <c r="P74" s="40"/>
      <c r="Q74" s="20"/>
    </row>
    <row r="75" spans="1:18" ht="56.4" customHeight="1" x14ac:dyDescent="0.3">
      <c r="A75" s="20">
        <v>71</v>
      </c>
      <c r="B75" s="46" t="s">
        <v>77</v>
      </c>
      <c r="C75" s="156" t="s">
        <v>579</v>
      </c>
      <c r="D75" s="20" t="s">
        <v>9</v>
      </c>
      <c r="E75" s="34" t="s">
        <v>608</v>
      </c>
      <c r="F75" s="48">
        <f>200+3367</f>
        <v>3567</v>
      </c>
      <c r="G75" s="20"/>
      <c r="H75" s="20"/>
      <c r="I75" s="20"/>
      <c r="J75" s="53"/>
      <c r="K75" s="22"/>
      <c r="L75" s="188"/>
      <c r="M75" s="21">
        <v>0.21</v>
      </c>
      <c r="N75" s="20"/>
      <c r="O75" s="48"/>
      <c r="P75" s="40"/>
      <c r="Q75" s="20"/>
    </row>
    <row r="76" spans="1:18" ht="40.200000000000003" customHeight="1" x14ac:dyDescent="0.3">
      <c r="A76" s="20">
        <v>72</v>
      </c>
      <c r="B76" s="46" t="s">
        <v>78</v>
      </c>
      <c r="C76" s="156" t="s">
        <v>580</v>
      </c>
      <c r="D76" s="20" t="s">
        <v>9</v>
      </c>
      <c r="E76" s="34" t="s">
        <v>608</v>
      </c>
      <c r="F76" s="48">
        <f>200+3303</f>
        <v>3503</v>
      </c>
      <c r="G76" s="20"/>
      <c r="H76" s="20"/>
      <c r="I76" s="20"/>
      <c r="J76" s="51"/>
      <c r="K76" s="22"/>
      <c r="L76" s="188"/>
      <c r="M76" s="21">
        <v>0.21</v>
      </c>
      <c r="N76" s="20"/>
      <c r="O76" s="48"/>
      <c r="P76" s="40"/>
      <c r="Q76" s="20"/>
    </row>
    <row r="77" spans="1:18" ht="40.200000000000003" customHeight="1" x14ac:dyDescent="0.3">
      <c r="A77" s="20">
        <v>73</v>
      </c>
      <c r="B77" s="46" t="s">
        <v>79</v>
      </c>
      <c r="C77" s="156" t="s">
        <v>581</v>
      </c>
      <c r="D77" s="20" t="s">
        <v>9</v>
      </c>
      <c r="E77" s="34" t="s">
        <v>608</v>
      </c>
      <c r="F77" s="48">
        <f>200+1995</f>
        <v>2195</v>
      </c>
      <c r="G77" s="20"/>
      <c r="H77" s="20"/>
      <c r="I77" s="20"/>
      <c r="J77" s="53"/>
      <c r="K77" s="22"/>
      <c r="L77" s="188"/>
      <c r="M77" s="21">
        <v>0.21</v>
      </c>
      <c r="N77" s="20"/>
      <c r="O77" s="48"/>
      <c r="P77" s="40"/>
      <c r="Q77" s="20"/>
    </row>
    <row r="78" spans="1:18" ht="39" customHeight="1" x14ac:dyDescent="0.3">
      <c r="A78" s="20">
        <v>74</v>
      </c>
      <c r="B78" s="46" t="s">
        <v>80</v>
      </c>
      <c r="C78" s="156" t="s">
        <v>582</v>
      </c>
      <c r="D78" s="20" t="s">
        <v>9</v>
      </c>
      <c r="E78" s="34" t="s">
        <v>608</v>
      </c>
      <c r="F78" s="48">
        <f>400+3605</f>
        <v>4005</v>
      </c>
      <c r="G78" s="20"/>
      <c r="H78" s="20"/>
      <c r="I78" s="20"/>
      <c r="J78" s="51"/>
      <c r="K78" s="22"/>
      <c r="L78" s="188"/>
      <c r="M78" s="21">
        <v>0.21</v>
      </c>
      <c r="N78" s="20"/>
      <c r="O78" s="48"/>
      <c r="P78" s="40"/>
      <c r="Q78" s="20"/>
    </row>
    <row r="79" spans="1:18" ht="60.6" customHeight="1" x14ac:dyDescent="0.3">
      <c r="A79" s="20">
        <v>75</v>
      </c>
      <c r="B79" s="46" t="s">
        <v>81</v>
      </c>
      <c r="C79" s="156" t="s">
        <v>583</v>
      </c>
      <c r="D79" s="20" t="s">
        <v>9</v>
      </c>
      <c r="E79" s="34" t="s">
        <v>608</v>
      </c>
      <c r="F79" s="48">
        <f>200+1797</f>
        <v>1997</v>
      </c>
      <c r="G79" s="20"/>
      <c r="H79" s="20"/>
      <c r="I79" s="20"/>
      <c r="J79" s="53"/>
      <c r="K79" s="22"/>
      <c r="L79" s="188"/>
      <c r="M79" s="21">
        <v>0.21</v>
      </c>
      <c r="N79" s="20"/>
      <c r="O79" s="48"/>
      <c r="P79" s="40"/>
      <c r="Q79" s="20"/>
    </row>
    <row r="80" spans="1:18" ht="37.799999999999997" customHeight="1" x14ac:dyDescent="0.3">
      <c r="A80" s="20">
        <v>76</v>
      </c>
      <c r="B80" s="46" t="s">
        <v>82</v>
      </c>
      <c r="C80" s="156" t="s">
        <v>584</v>
      </c>
      <c r="D80" s="20" t="s">
        <v>9</v>
      </c>
      <c r="E80" s="34" t="s">
        <v>608</v>
      </c>
      <c r="F80" s="48">
        <f>200+0</f>
        <v>200</v>
      </c>
      <c r="G80" s="20"/>
      <c r="H80" s="20"/>
      <c r="I80" s="20"/>
      <c r="J80" s="51"/>
      <c r="K80" s="22"/>
      <c r="L80" s="188"/>
      <c r="M80" s="21">
        <v>0.21</v>
      </c>
      <c r="N80" s="20"/>
      <c r="O80" s="48"/>
      <c r="P80" s="40"/>
      <c r="Q80" s="20"/>
    </row>
    <row r="81" spans="1:18" ht="28.2" customHeight="1" x14ac:dyDescent="0.3">
      <c r="A81" s="20">
        <v>77</v>
      </c>
      <c r="B81" s="46" t="s">
        <v>83</v>
      </c>
      <c r="C81" s="156" t="s">
        <v>275</v>
      </c>
      <c r="D81" s="20" t="s">
        <v>9</v>
      </c>
      <c r="E81" s="34" t="s">
        <v>608</v>
      </c>
      <c r="F81" s="48">
        <f>100+967</f>
        <v>1067</v>
      </c>
      <c r="G81" s="20"/>
      <c r="H81" s="20"/>
      <c r="I81" s="20"/>
      <c r="J81" s="53"/>
      <c r="K81" s="22"/>
      <c r="L81" s="188"/>
      <c r="M81" s="21">
        <v>0.21</v>
      </c>
      <c r="N81" s="20"/>
      <c r="O81" s="48"/>
      <c r="P81" s="40"/>
      <c r="Q81" s="20"/>
    </row>
    <row r="82" spans="1:18" ht="28.2" customHeight="1" x14ac:dyDescent="0.3">
      <c r="A82" s="20">
        <v>78</v>
      </c>
      <c r="B82" s="46" t="s">
        <v>84</v>
      </c>
      <c r="C82" s="156" t="s">
        <v>277</v>
      </c>
      <c r="D82" s="20" t="s">
        <v>9</v>
      </c>
      <c r="E82" s="34" t="s">
        <v>608</v>
      </c>
      <c r="F82" s="48">
        <f>100+306</f>
        <v>406</v>
      </c>
      <c r="G82" s="20"/>
      <c r="H82" s="20"/>
      <c r="I82" s="20"/>
      <c r="J82" s="51"/>
      <c r="K82" s="22"/>
      <c r="L82" s="188"/>
      <c r="M82" s="21">
        <v>0.21</v>
      </c>
      <c r="N82" s="20"/>
      <c r="O82" s="48"/>
      <c r="P82" s="40"/>
      <c r="Q82" s="20"/>
    </row>
    <row r="83" spans="1:18" ht="44.4" customHeight="1" x14ac:dyDescent="0.3">
      <c r="A83" s="20">
        <v>79</v>
      </c>
      <c r="B83" s="46" t="s">
        <v>85</v>
      </c>
      <c r="C83" s="156" t="s">
        <v>585</v>
      </c>
      <c r="D83" s="20" t="s">
        <v>9</v>
      </c>
      <c r="E83" s="34" t="s">
        <v>608</v>
      </c>
      <c r="F83" s="48">
        <f>5000+2352</f>
        <v>7352</v>
      </c>
      <c r="G83" s="20"/>
      <c r="H83" s="20"/>
      <c r="I83" s="20"/>
      <c r="J83" s="53"/>
      <c r="K83" s="22"/>
      <c r="L83" s="188"/>
      <c r="M83" s="21">
        <v>0.21</v>
      </c>
      <c r="N83" s="20"/>
      <c r="O83" s="48"/>
      <c r="P83" s="40"/>
      <c r="Q83" s="20"/>
    </row>
    <row r="84" spans="1:18" ht="44.4" customHeight="1" x14ac:dyDescent="0.3">
      <c r="A84" s="20">
        <v>80</v>
      </c>
      <c r="B84" s="46" t="s">
        <v>86</v>
      </c>
      <c r="C84" s="156" t="s">
        <v>586</v>
      </c>
      <c r="D84" s="20" t="s">
        <v>9</v>
      </c>
      <c r="E84" s="34" t="s">
        <v>608</v>
      </c>
      <c r="F84" s="48">
        <f>3000+13258</f>
        <v>16258</v>
      </c>
      <c r="G84" s="20"/>
      <c r="H84" s="20"/>
      <c r="I84" s="20"/>
      <c r="J84" s="51"/>
      <c r="K84" s="22"/>
      <c r="L84" s="188"/>
      <c r="M84" s="21">
        <v>0.21</v>
      </c>
      <c r="N84" s="20"/>
      <c r="O84" s="48"/>
      <c r="P84" s="40"/>
      <c r="Q84" s="20"/>
    </row>
    <row r="85" spans="1:18" ht="44.4" customHeight="1" x14ac:dyDescent="0.3">
      <c r="A85" s="20">
        <v>81</v>
      </c>
      <c r="B85" s="46" t="s">
        <v>87</v>
      </c>
      <c r="C85" s="156" t="s">
        <v>279</v>
      </c>
      <c r="D85" s="20" t="s">
        <v>9</v>
      </c>
      <c r="E85" s="34" t="s">
        <v>608</v>
      </c>
      <c r="F85" s="48">
        <f>1000+8265</f>
        <v>9265</v>
      </c>
      <c r="G85" s="20"/>
      <c r="H85" s="20"/>
      <c r="I85" s="20"/>
      <c r="J85" s="53"/>
      <c r="K85" s="22"/>
      <c r="L85" s="188"/>
      <c r="M85" s="21">
        <v>0.21</v>
      </c>
      <c r="N85" s="20"/>
      <c r="O85" s="48"/>
      <c r="P85" s="40"/>
      <c r="Q85" s="20"/>
    </row>
    <row r="86" spans="1:18" ht="44.4" customHeight="1" x14ac:dyDescent="0.3">
      <c r="A86" s="20">
        <v>82</v>
      </c>
      <c r="B86" s="46" t="s">
        <v>88</v>
      </c>
      <c r="C86" s="156" t="s">
        <v>587</v>
      </c>
      <c r="D86" s="20" t="s">
        <v>9</v>
      </c>
      <c r="E86" s="34" t="s">
        <v>608</v>
      </c>
      <c r="F86" s="48">
        <f>1000+5915</f>
        <v>6915</v>
      </c>
      <c r="G86" s="20"/>
      <c r="H86" s="20"/>
      <c r="I86" s="20"/>
      <c r="J86" s="51"/>
      <c r="K86" s="22"/>
      <c r="L86" s="188"/>
      <c r="M86" s="21">
        <v>0.21</v>
      </c>
      <c r="N86" s="20"/>
      <c r="O86" s="48"/>
      <c r="P86" s="40"/>
      <c r="Q86" s="20"/>
    </row>
    <row r="87" spans="1:18" ht="40.200000000000003" customHeight="1" x14ac:dyDescent="0.3">
      <c r="A87" s="20">
        <v>83</v>
      </c>
      <c r="B87" s="46" t="s">
        <v>89</v>
      </c>
      <c r="C87" s="156" t="s">
        <v>284</v>
      </c>
      <c r="D87" s="20" t="s">
        <v>9</v>
      </c>
      <c r="E87" s="34" t="s">
        <v>608</v>
      </c>
      <c r="F87" s="48">
        <f>500+394</f>
        <v>894</v>
      </c>
      <c r="G87" s="20"/>
      <c r="H87" s="20"/>
      <c r="I87" s="20"/>
      <c r="J87" s="53"/>
      <c r="K87" s="20"/>
      <c r="L87" s="23"/>
      <c r="M87" s="21">
        <v>0.21</v>
      </c>
      <c r="N87" s="20"/>
      <c r="O87" s="48"/>
      <c r="P87" s="40"/>
      <c r="Q87" s="20"/>
    </row>
    <row r="88" spans="1:18" ht="40.200000000000003" customHeight="1" x14ac:dyDescent="0.3">
      <c r="A88" s="20">
        <v>84</v>
      </c>
      <c r="B88" s="46" t="s">
        <v>90</v>
      </c>
      <c r="C88" s="156" t="s">
        <v>283</v>
      </c>
      <c r="D88" s="20" t="s">
        <v>9</v>
      </c>
      <c r="E88" s="34" t="s">
        <v>608</v>
      </c>
      <c r="F88" s="48">
        <f>500+343</f>
        <v>843</v>
      </c>
      <c r="G88" s="20"/>
      <c r="H88" s="20"/>
      <c r="I88" s="20"/>
      <c r="J88" s="53"/>
      <c r="K88" s="20"/>
      <c r="L88" s="23"/>
      <c r="M88" s="21">
        <v>0.21</v>
      </c>
      <c r="N88" s="20"/>
      <c r="O88" s="48"/>
      <c r="P88" s="40"/>
      <c r="Q88" s="20"/>
    </row>
    <row r="89" spans="1:18" ht="40.200000000000003" customHeight="1" x14ac:dyDescent="0.3">
      <c r="A89" s="20">
        <v>85</v>
      </c>
      <c r="B89" s="46" t="s">
        <v>91</v>
      </c>
      <c r="C89" s="156" t="s">
        <v>285</v>
      </c>
      <c r="D89" s="20" t="s">
        <v>9</v>
      </c>
      <c r="E89" s="34" t="s">
        <v>608</v>
      </c>
      <c r="F89" s="48">
        <f>500+367</f>
        <v>867</v>
      </c>
      <c r="G89" s="20"/>
      <c r="H89" s="20"/>
      <c r="I89" s="20"/>
      <c r="J89" s="53"/>
      <c r="K89" s="20"/>
      <c r="L89" s="23"/>
      <c r="M89" s="21">
        <v>0.21</v>
      </c>
      <c r="N89" s="20"/>
      <c r="O89" s="48"/>
      <c r="P89" s="40"/>
      <c r="Q89" s="20"/>
    </row>
    <row r="90" spans="1:18" ht="40.200000000000003" customHeight="1" x14ac:dyDescent="0.3">
      <c r="A90" s="20">
        <v>86</v>
      </c>
      <c r="B90" s="46" t="s">
        <v>92</v>
      </c>
      <c r="C90" s="156" t="s">
        <v>287</v>
      </c>
      <c r="D90" s="20" t="s">
        <v>9</v>
      </c>
      <c r="E90" s="34" t="s">
        <v>608</v>
      </c>
      <c r="F90" s="48">
        <f>500+342</f>
        <v>842</v>
      </c>
      <c r="G90" s="20"/>
      <c r="H90" s="20"/>
      <c r="I90" s="20"/>
      <c r="J90" s="53"/>
      <c r="K90" s="20"/>
      <c r="L90" s="23"/>
      <c r="M90" s="21">
        <v>0.21</v>
      </c>
      <c r="N90" s="20"/>
      <c r="O90" s="48"/>
      <c r="P90" s="40"/>
      <c r="Q90" s="20"/>
    </row>
    <row r="91" spans="1:18" ht="40.200000000000003" customHeight="1" x14ac:dyDescent="0.3">
      <c r="A91" s="20">
        <v>87</v>
      </c>
      <c r="B91" s="46" t="s">
        <v>93</v>
      </c>
      <c r="C91" s="156" t="s">
        <v>588</v>
      </c>
      <c r="D91" s="20" t="s">
        <v>9</v>
      </c>
      <c r="E91" s="34" t="s">
        <v>608</v>
      </c>
      <c r="F91" s="48">
        <f>200+622</f>
        <v>822</v>
      </c>
      <c r="G91" s="20"/>
      <c r="H91" s="20"/>
      <c r="I91" s="20"/>
      <c r="J91" s="52"/>
      <c r="K91" s="20"/>
      <c r="L91" s="23"/>
      <c r="M91" s="21">
        <v>0.21</v>
      </c>
      <c r="N91" s="20"/>
      <c r="O91" s="48"/>
      <c r="P91" s="40"/>
      <c r="Q91" s="20"/>
    </row>
    <row r="92" spans="1:18" ht="28.8" customHeight="1" x14ac:dyDescent="0.3">
      <c r="A92" s="20">
        <v>88</v>
      </c>
      <c r="B92" s="46" t="s">
        <v>94</v>
      </c>
      <c r="C92" s="156" t="s">
        <v>290</v>
      </c>
      <c r="D92" s="20" t="s">
        <v>9</v>
      </c>
      <c r="E92" s="34" t="s">
        <v>608</v>
      </c>
      <c r="F92" s="48">
        <f>100+0</f>
        <v>100</v>
      </c>
      <c r="G92" s="20"/>
      <c r="H92" s="20"/>
      <c r="I92" s="20"/>
      <c r="J92" s="51"/>
      <c r="K92" s="20"/>
      <c r="L92" s="23"/>
      <c r="M92" s="21">
        <v>0.21</v>
      </c>
      <c r="N92" s="20"/>
      <c r="O92" s="48"/>
      <c r="P92" s="58" t="s">
        <v>622</v>
      </c>
      <c r="Q92" s="20"/>
    </row>
    <row r="93" spans="1:18" ht="28.8" customHeight="1" x14ac:dyDescent="0.3">
      <c r="A93" s="20">
        <v>89</v>
      </c>
      <c r="B93" s="46" t="s">
        <v>95</v>
      </c>
      <c r="C93" s="156" t="s">
        <v>292</v>
      </c>
      <c r="D93" s="20" t="s">
        <v>9</v>
      </c>
      <c r="E93" s="34" t="s">
        <v>608</v>
      </c>
      <c r="F93" s="48">
        <f>100+0</f>
        <v>100</v>
      </c>
      <c r="G93" s="20"/>
      <c r="H93" s="20"/>
      <c r="I93" s="20"/>
      <c r="J93" s="52"/>
      <c r="K93" s="20"/>
      <c r="L93" s="23"/>
      <c r="M93" s="21">
        <v>0.21</v>
      </c>
      <c r="N93" s="20"/>
      <c r="O93" s="48"/>
      <c r="P93" s="58" t="s">
        <v>622</v>
      </c>
      <c r="Q93" s="20"/>
    </row>
    <row r="94" spans="1:18" ht="34.799999999999997" customHeight="1" x14ac:dyDescent="0.3">
      <c r="A94" s="20">
        <v>90</v>
      </c>
      <c r="B94" s="46" t="s">
        <v>96</v>
      </c>
      <c r="C94" s="156" t="s">
        <v>294</v>
      </c>
      <c r="D94" s="20" t="s">
        <v>9</v>
      </c>
      <c r="E94" s="34" t="s">
        <v>608</v>
      </c>
      <c r="F94" s="48">
        <f>20+616</f>
        <v>636</v>
      </c>
      <c r="G94" s="20"/>
      <c r="H94" s="20"/>
      <c r="I94" s="20"/>
      <c r="J94" s="50"/>
      <c r="K94" s="20"/>
      <c r="L94" s="23"/>
      <c r="M94" s="21">
        <v>0.21</v>
      </c>
      <c r="N94" s="20"/>
      <c r="O94" s="48"/>
      <c r="P94" s="40"/>
      <c r="Q94" s="20"/>
    </row>
    <row r="95" spans="1:18" ht="31.8" customHeight="1" x14ac:dyDescent="0.3">
      <c r="A95" s="20">
        <v>91</v>
      </c>
      <c r="B95" s="46" t="s">
        <v>97</v>
      </c>
      <c r="C95" s="156" t="s">
        <v>296</v>
      </c>
      <c r="D95" s="20" t="s">
        <v>9</v>
      </c>
      <c r="E95" s="34" t="s">
        <v>608</v>
      </c>
      <c r="F95" s="48">
        <f>20+0</f>
        <v>20</v>
      </c>
      <c r="G95" s="20"/>
      <c r="H95" s="20"/>
      <c r="I95" s="20"/>
      <c r="J95" s="52"/>
      <c r="K95" s="20"/>
      <c r="L95" s="23"/>
      <c r="M95" s="21">
        <v>0.21</v>
      </c>
      <c r="N95" s="20"/>
      <c r="O95" s="48"/>
      <c r="P95" s="40"/>
      <c r="Q95" s="20"/>
    </row>
    <row r="96" spans="1:18" ht="35.4" customHeight="1" x14ac:dyDescent="0.3">
      <c r="A96" s="20">
        <v>92</v>
      </c>
      <c r="B96" s="46" t="s">
        <v>98</v>
      </c>
      <c r="C96" s="156" t="s">
        <v>298</v>
      </c>
      <c r="D96" s="20" t="s">
        <v>9</v>
      </c>
      <c r="E96" s="34" t="s">
        <v>608</v>
      </c>
      <c r="F96" s="48">
        <f>40+80</f>
        <v>120</v>
      </c>
      <c r="G96" s="20"/>
      <c r="H96" s="20"/>
      <c r="I96" s="20"/>
      <c r="J96" s="53"/>
      <c r="K96" s="22"/>
      <c r="L96" s="23"/>
      <c r="M96" s="21">
        <v>0.21</v>
      </c>
      <c r="N96" s="20"/>
      <c r="O96" s="48"/>
      <c r="P96" s="40"/>
      <c r="Q96" s="20"/>
      <c r="R96" s="20">
        <v>148886</v>
      </c>
    </row>
    <row r="97" spans="1:18" ht="38.4" customHeight="1" thickBot="1" x14ac:dyDescent="0.35">
      <c r="A97" s="67">
        <v>93</v>
      </c>
      <c r="B97" s="68" t="s">
        <v>99</v>
      </c>
      <c r="C97" s="157" t="s">
        <v>300</v>
      </c>
      <c r="D97" s="67" t="s">
        <v>9</v>
      </c>
      <c r="E97" s="34" t="s">
        <v>608</v>
      </c>
      <c r="F97" s="67">
        <f>20+82</f>
        <v>102</v>
      </c>
      <c r="G97" s="67"/>
      <c r="H97" s="67"/>
      <c r="I97" s="67"/>
      <c r="J97" s="125"/>
      <c r="K97" s="69"/>
      <c r="L97" s="93"/>
      <c r="M97" s="94">
        <v>0.21</v>
      </c>
      <c r="N97" s="67"/>
      <c r="O97" s="67"/>
      <c r="P97" s="126"/>
      <c r="Q97" s="67"/>
      <c r="R97" s="20">
        <v>148897</v>
      </c>
    </row>
    <row r="98" spans="1:18" s="2" customFormat="1" ht="34.200000000000003" customHeight="1" thickBot="1" x14ac:dyDescent="0.25">
      <c r="A98" s="129"/>
      <c r="B98" s="130"/>
      <c r="C98" s="161" t="s">
        <v>306</v>
      </c>
      <c r="D98" s="130"/>
      <c r="E98" s="130"/>
      <c r="F98" s="130"/>
      <c r="G98" s="130"/>
      <c r="H98" s="130"/>
      <c r="I98" s="130"/>
      <c r="J98" s="130"/>
      <c r="K98" s="130"/>
      <c r="L98" s="130"/>
      <c r="M98" s="130"/>
      <c r="N98" s="130"/>
      <c r="O98" s="130"/>
      <c r="P98" s="130"/>
      <c r="Q98" s="130"/>
    </row>
    <row r="99" spans="1:18" s="2" customFormat="1" ht="50.4" customHeight="1" x14ac:dyDescent="0.3">
      <c r="A99" s="34">
        <v>94</v>
      </c>
      <c r="B99" s="79" t="s">
        <v>100</v>
      </c>
      <c r="C99" s="156" t="s">
        <v>308</v>
      </c>
      <c r="D99" s="34" t="s">
        <v>9</v>
      </c>
      <c r="E99" s="34" t="s">
        <v>608</v>
      </c>
      <c r="F99" s="34">
        <f>200+1455</f>
        <v>1655</v>
      </c>
      <c r="G99" s="97"/>
      <c r="H99" s="97"/>
      <c r="I99" s="98"/>
      <c r="J99" s="127"/>
      <c r="K99" s="99"/>
      <c r="L99" s="35"/>
      <c r="M99" s="36">
        <v>0.21</v>
      </c>
      <c r="N99" s="100"/>
      <c r="O99" s="100"/>
      <c r="P99" s="128"/>
      <c r="Q99" s="101"/>
    </row>
    <row r="100" spans="1:18" s="2" customFormat="1" ht="28.8" x14ac:dyDescent="0.3">
      <c r="A100" s="20">
        <v>95</v>
      </c>
      <c r="B100" s="46" t="s">
        <v>101</v>
      </c>
      <c r="C100" s="162" t="s">
        <v>310</v>
      </c>
      <c r="D100" s="22" t="s">
        <v>9</v>
      </c>
      <c r="E100" s="34" t="s">
        <v>608</v>
      </c>
      <c r="F100" s="48">
        <f>200+924</f>
        <v>1124</v>
      </c>
      <c r="G100" s="27"/>
      <c r="H100" s="27"/>
      <c r="I100" s="26"/>
      <c r="J100" s="53"/>
      <c r="K100" s="28"/>
      <c r="L100" s="23"/>
      <c r="M100" s="21">
        <v>0.21</v>
      </c>
      <c r="N100" s="29"/>
      <c r="O100" s="151"/>
      <c r="P100" s="58" t="s">
        <v>623</v>
      </c>
      <c r="Q100" s="30"/>
    </row>
    <row r="101" spans="1:18" s="2" customFormat="1" ht="20.399999999999999" x14ac:dyDescent="0.3">
      <c r="A101" s="20">
        <v>96</v>
      </c>
      <c r="B101" s="46" t="s">
        <v>102</v>
      </c>
      <c r="C101" s="156" t="s">
        <v>312</v>
      </c>
      <c r="D101" s="22" t="s">
        <v>9</v>
      </c>
      <c r="E101" s="34" t="s">
        <v>608</v>
      </c>
      <c r="F101" s="48">
        <f>12+163</f>
        <v>175</v>
      </c>
      <c r="G101" s="27"/>
      <c r="H101" s="27"/>
      <c r="I101" s="26"/>
      <c r="J101" s="53"/>
      <c r="K101" s="28"/>
      <c r="L101" s="23"/>
      <c r="M101" s="21">
        <v>0.21</v>
      </c>
      <c r="N101" s="29"/>
      <c r="O101" s="151"/>
      <c r="P101" s="39"/>
      <c r="Q101" s="30"/>
    </row>
    <row r="102" spans="1:18" s="2" customFormat="1" ht="28.8" x14ac:dyDescent="0.3">
      <c r="A102" s="20">
        <v>97</v>
      </c>
      <c r="B102" s="46" t="s">
        <v>103</v>
      </c>
      <c r="C102" s="156" t="s">
        <v>314</v>
      </c>
      <c r="D102" s="20" t="s">
        <v>9</v>
      </c>
      <c r="E102" s="34" t="s">
        <v>608</v>
      </c>
      <c r="F102" s="48">
        <f>20+150</f>
        <v>170</v>
      </c>
      <c r="G102" s="27"/>
      <c r="H102" s="27"/>
      <c r="I102" s="26"/>
      <c r="J102" s="53"/>
      <c r="K102" s="28"/>
      <c r="L102" s="23"/>
      <c r="M102" s="21">
        <v>0.21</v>
      </c>
      <c r="N102" s="29"/>
      <c r="O102" s="151"/>
      <c r="P102" s="58" t="s">
        <v>624</v>
      </c>
      <c r="Q102" s="30"/>
    </row>
    <row r="103" spans="1:18" s="2" customFormat="1" ht="40.799999999999997" customHeight="1" x14ac:dyDescent="0.3">
      <c r="A103" s="20">
        <v>98</v>
      </c>
      <c r="B103" s="46" t="s">
        <v>104</v>
      </c>
      <c r="C103" s="156" t="s">
        <v>316</v>
      </c>
      <c r="D103" s="22" t="s">
        <v>9</v>
      </c>
      <c r="E103" s="34" t="s">
        <v>608</v>
      </c>
      <c r="F103" s="48">
        <f>50+0</f>
        <v>50</v>
      </c>
      <c r="G103" s="27"/>
      <c r="H103" s="27"/>
      <c r="I103" s="26"/>
      <c r="J103" s="53"/>
      <c r="K103" s="28"/>
      <c r="L103" s="23"/>
      <c r="M103" s="21">
        <v>0.21</v>
      </c>
      <c r="N103" s="29"/>
      <c r="O103" s="151"/>
      <c r="P103" s="58" t="s">
        <v>624</v>
      </c>
      <c r="Q103" s="30"/>
    </row>
    <row r="104" spans="1:18" s="2" customFormat="1" ht="40.799999999999997" customHeight="1" x14ac:dyDescent="0.3">
      <c r="A104" s="20">
        <v>99</v>
      </c>
      <c r="B104" s="46" t="s">
        <v>105</v>
      </c>
      <c r="C104" s="156" t="s">
        <v>318</v>
      </c>
      <c r="D104" s="20" t="s">
        <v>9</v>
      </c>
      <c r="E104" s="34" t="s">
        <v>608</v>
      </c>
      <c r="F104" s="48">
        <f>50+753</f>
        <v>803</v>
      </c>
      <c r="G104" s="27"/>
      <c r="H104" s="27"/>
      <c r="I104" s="26"/>
      <c r="J104" s="53"/>
      <c r="K104" s="28"/>
      <c r="L104" s="23"/>
      <c r="M104" s="21">
        <v>0.21</v>
      </c>
      <c r="N104" s="29"/>
      <c r="O104" s="151"/>
      <c r="P104" s="58" t="s">
        <v>624</v>
      </c>
      <c r="Q104" s="30"/>
    </row>
    <row r="105" spans="1:18" s="2" customFormat="1" ht="40.799999999999997" customHeight="1" x14ac:dyDescent="0.3">
      <c r="A105" s="20">
        <v>100</v>
      </c>
      <c r="B105" s="46" t="s">
        <v>107</v>
      </c>
      <c r="C105" s="156" t="s">
        <v>320</v>
      </c>
      <c r="D105" s="20" t="s">
        <v>9</v>
      </c>
      <c r="E105" s="34" t="s">
        <v>608</v>
      </c>
      <c r="F105" s="48">
        <f>50+2294</f>
        <v>2344</v>
      </c>
      <c r="G105" s="27"/>
      <c r="H105" s="27"/>
      <c r="I105" s="26"/>
      <c r="J105" s="53"/>
      <c r="K105" s="28"/>
      <c r="L105" s="23"/>
      <c r="M105" s="21">
        <v>0.21</v>
      </c>
      <c r="N105" s="29"/>
      <c r="O105" s="151"/>
      <c r="P105" s="58" t="s">
        <v>618</v>
      </c>
      <c r="Q105" s="30"/>
    </row>
    <row r="106" spans="1:18" s="2" customFormat="1" ht="40.799999999999997" customHeight="1" x14ac:dyDescent="0.3">
      <c r="A106" s="20">
        <v>101</v>
      </c>
      <c r="B106" s="46" t="s">
        <v>108</v>
      </c>
      <c r="C106" s="156" t="s">
        <v>322</v>
      </c>
      <c r="D106" s="22" t="s">
        <v>9</v>
      </c>
      <c r="E106" s="34" t="s">
        <v>608</v>
      </c>
      <c r="F106" s="48">
        <f>200+7003</f>
        <v>7203</v>
      </c>
      <c r="G106" s="27"/>
      <c r="H106" s="27"/>
      <c r="I106" s="26"/>
      <c r="J106" s="53"/>
      <c r="K106" s="28"/>
      <c r="L106" s="23"/>
      <c r="M106" s="21">
        <v>0.21</v>
      </c>
      <c r="N106" s="29"/>
      <c r="O106" s="151"/>
      <c r="P106" s="39"/>
      <c r="Q106" s="30"/>
    </row>
    <row r="107" spans="1:18" s="2" customFormat="1" ht="40.799999999999997" customHeight="1" x14ac:dyDescent="0.3">
      <c r="A107" s="20">
        <v>102</v>
      </c>
      <c r="B107" s="46" t="s">
        <v>109</v>
      </c>
      <c r="C107" s="156" t="s">
        <v>324</v>
      </c>
      <c r="D107" s="22" t="s">
        <v>9</v>
      </c>
      <c r="E107" s="34" t="s">
        <v>608</v>
      </c>
      <c r="F107" s="48">
        <f>40+777</f>
        <v>817</v>
      </c>
      <c r="G107" s="27"/>
      <c r="H107" s="27"/>
      <c r="I107" s="26"/>
      <c r="J107" s="53"/>
      <c r="K107" s="28"/>
      <c r="L107" s="23"/>
      <c r="M107" s="21">
        <v>0.21</v>
      </c>
      <c r="N107" s="29"/>
      <c r="O107" s="151"/>
      <c r="P107" s="39"/>
      <c r="Q107" s="30"/>
    </row>
    <row r="108" spans="1:18" s="2" customFormat="1" ht="40.799999999999997" customHeight="1" x14ac:dyDescent="0.3">
      <c r="A108" s="20">
        <v>103</v>
      </c>
      <c r="B108" s="46" t="s">
        <v>110</v>
      </c>
      <c r="C108" s="156" t="s">
        <v>326</v>
      </c>
      <c r="D108" s="20" t="s">
        <v>9</v>
      </c>
      <c r="E108" s="34" t="s">
        <v>608</v>
      </c>
      <c r="F108" s="48">
        <f>20+0</f>
        <v>20</v>
      </c>
      <c r="G108" s="27"/>
      <c r="H108" s="27"/>
      <c r="I108" s="26"/>
      <c r="J108" s="53"/>
      <c r="K108" s="28"/>
      <c r="L108" s="23"/>
      <c r="M108" s="21">
        <v>0.21</v>
      </c>
      <c r="N108" s="29"/>
      <c r="O108" s="151"/>
      <c r="P108" s="58" t="s">
        <v>617</v>
      </c>
      <c r="Q108" s="30"/>
    </row>
    <row r="109" spans="1:18" s="2" customFormat="1" ht="14.4" x14ac:dyDescent="0.3">
      <c r="A109" s="20">
        <v>104</v>
      </c>
      <c r="B109" s="46" t="s">
        <v>111</v>
      </c>
      <c r="C109" s="156" t="s">
        <v>328</v>
      </c>
      <c r="D109" s="22" t="s">
        <v>9</v>
      </c>
      <c r="E109" s="34" t="s">
        <v>608</v>
      </c>
      <c r="F109" s="48">
        <f>100+1247</f>
        <v>1347</v>
      </c>
      <c r="G109" s="27"/>
      <c r="H109" s="27"/>
      <c r="I109" s="26"/>
      <c r="J109" s="53"/>
      <c r="K109" s="28"/>
      <c r="L109" s="23"/>
      <c r="M109" s="21">
        <v>0.21</v>
      </c>
      <c r="N109" s="29"/>
      <c r="O109" s="151"/>
      <c r="P109" s="39"/>
      <c r="Q109" s="30"/>
    </row>
    <row r="110" spans="1:18" s="2" customFormat="1" ht="31.8" customHeight="1" x14ac:dyDescent="0.3">
      <c r="A110" s="20">
        <v>105</v>
      </c>
      <c r="B110" s="46" t="s">
        <v>112</v>
      </c>
      <c r="C110" s="156" t="s">
        <v>330</v>
      </c>
      <c r="D110" s="20" t="s">
        <v>9</v>
      </c>
      <c r="E110" s="34" t="s">
        <v>608</v>
      </c>
      <c r="F110" s="48">
        <f>100+2120</f>
        <v>2220</v>
      </c>
      <c r="G110" s="27"/>
      <c r="H110" s="27"/>
      <c r="I110" s="26"/>
      <c r="J110" s="53"/>
      <c r="K110" s="28"/>
      <c r="L110" s="23"/>
      <c r="M110" s="21">
        <v>0.21</v>
      </c>
      <c r="N110" s="29"/>
      <c r="O110" s="151"/>
      <c r="P110" s="39"/>
      <c r="Q110" s="30"/>
    </row>
    <row r="111" spans="1:18" s="2" customFormat="1" ht="39" customHeight="1" x14ac:dyDescent="0.3">
      <c r="A111" s="20">
        <v>106</v>
      </c>
      <c r="B111" s="46" t="s">
        <v>113</v>
      </c>
      <c r="C111" s="156" t="s">
        <v>332</v>
      </c>
      <c r="D111" s="22" t="s">
        <v>9</v>
      </c>
      <c r="E111" s="34" t="s">
        <v>608</v>
      </c>
      <c r="F111" s="48">
        <f>50+2157</f>
        <v>2207</v>
      </c>
      <c r="G111" s="27"/>
      <c r="H111" s="27"/>
      <c r="I111" s="26"/>
      <c r="J111" s="53"/>
      <c r="K111" s="28"/>
      <c r="L111" s="23"/>
      <c r="M111" s="21">
        <v>0.21</v>
      </c>
      <c r="N111" s="29"/>
      <c r="O111" s="151"/>
      <c r="P111" s="39"/>
      <c r="Q111" s="30"/>
    </row>
    <row r="112" spans="1:18" s="2" customFormat="1" ht="41.4" customHeight="1" x14ac:dyDescent="0.3">
      <c r="A112" s="20">
        <v>107</v>
      </c>
      <c r="B112" s="46" t="s">
        <v>114</v>
      </c>
      <c r="C112" s="156" t="s">
        <v>334</v>
      </c>
      <c r="D112" s="20" t="s">
        <v>9</v>
      </c>
      <c r="E112" s="34" t="s">
        <v>608</v>
      </c>
      <c r="F112" s="48">
        <f>10+17</f>
        <v>27</v>
      </c>
      <c r="G112" s="27"/>
      <c r="H112" s="27"/>
      <c r="I112" s="26"/>
      <c r="J112" s="53"/>
      <c r="K112" s="28"/>
      <c r="L112" s="23"/>
      <c r="M112" s="21">
        <v>0.21</v>
      </c>
      <c r="N112" s="29"/>
      <c r="O112" s="151"/>
      <c r="P112" s="39"/>
      <c r="Q112" s="30"/>
    </row>
    <row r="113" spans="1:18" s="2" customFormat="1" ht="28.8" x14ac:dyDescent="0.3">
      <c r="A113" s="20">
        <v>108</v>
      </c>
      <c r="B113" s="46" t="s">
        <v>115</v>
      </c>
      <c r="C113" s="156" t="s">
        <v>336</v>
      </c>
      <c r="D113" s="22" t="s">
        <v>9</v>
      </c>
      <c r="E113" s="34" t="s">
        <v>608</v>
      </c>
      <c r="F113" s="48">
        <f>20+274</f>
        <v>294</v>
      </c>
      <c r="G113" s="27"/>
      <c r="H113" s="27"/>
      <c r="I113" s="26"/>
      <c r="J113" s="53"/>
      <c r="K113" s="28"/>
      <c r="L113" s="23"/>
      <c r="M113" s="21">
        <v>0.21</v>
      </c>
      <c r="N113" s="29"/>
      <c r="O113" s="151"/>
      <c r="P113" s="58" t="s">
        <v>625</v>
      </c>
      <c r="Q113" s="30"/>
    </row>
    <row r="114" spans="1:18" s="2" customFormat="1" ht="28.8" x14ac:dyDescent="0.3">
      <c r="A114" s="20">
        <v>109</v>
      </c>
      <c r="B114" s="46" t="s">
        <v>116</v>
      </c>
      <c r="C114" s="156" t="s">
        <v>338</v>
      </c>
      <c r="D114" s="22" t="s">
        <v>9</v>
      </c>
      <c r="E114" s="34" t="s">
        <v>608</v>
      </c>
      <c r="F114" s="48">
        <f>50+824</f>
        <v>874</v>
      </c>
      <c r="G114" s="27"/>
      <c r="H114" s="27"/>
      <c r="I114" s="26"/>
      <c r="J114" s="53"/>
      <c r="K114" s="28"/>
      <c r="L114" s="23"/>
      <c r="M114" s="24">
        <v>0.21</v>
      </c>
      <c r="N114" s="29"/>
      <c r="O114" s="151"/>
      <c r="P114" s="58" t="s">
        <v>626</v>
      </c>
      <c r="Q114" s="30"/>
    </row>
    <row r="115" spans="1:18" s="2" customFormat="1" ht="14.4" x14ac:dyDescent="0.3">
      <c r="A115" s="20">
        <v>110</v>
      </c>
      <c r="B115" s="46" t="s">
        <v>117</v>
      </c>
      <c r="C115" s="156" t="s">
        <v>340</v>
      </c>
      <c r="D115" s="22" t="s">
        <v>9</v>
      </c>
      <c r="E115" s="34" t="s">
        <v>608</v>
      </c>
      <c r="F115" s="48">
        <f>100+0</f>
        <v>100</v>
      </c>
      <c r="G115" s="31"/>
      <c r="H115" s="31"/>
      <c r="I115" s="32"/>
      <c r="J115" s="53"/>
      <c r="K115" s="28"/>
      <c r="L115" s="23"/>
      <c r="M115" s="21">
        <v>0.21</v>
      </c>
      <c r="N115" s="29"/>
      <c r="O115" s="151"/>
      <c r="P115" s="39"/>
      <c r="Q115" s="30"/>
    </row>
    <row r="116" spans="1:18" s="2" customFormat="1" ht="33" customHeight="1" x14ac:dyDescent="0.3">
      <c r="A116" s="20">
        <v>111</v>
      </c>
      <c r="B116" s="46" t="s">
        <v>121</v>
      </c>
      <c r="C116" s="156" t="s">
        <v>342</v>
      </c>
      <c r="D116" s="22" t="s">
        <v>9</v>
      </c>
      <c r="E116" s="34" t="s">
        <v>608</v>
      </c>
      <c r="F116" s="48">
        <f>10+10</f>
        <v>20</v>
      </c>
      <c r="G116" s="27"/>
      <c r="H116" s="27"/>
      <c r="I116" s="26"/>
      <c r="J116" s="53"/>
      <c r="K116" s="28"/>
      <c r="L116" s="23"/>
      <c r="M116" s="21">
        <v>0.21</v>
      </c>
      <c r="N116" s="29"/>
      <c r="O116" s="151"/>
      <c r="P116" s="39"/>
      <c r="Q116" s="30"/>
      <c r="R116" s="20">
        <v>1863199</v>
      </c>
    </row>
    <row r="117" spans="1:18" s="2" customFormat="1" ht="28.8" x14ac:dyDescent="0.3">
      <c r="A117" s="20">
        <v>112</v>
      </c>
      <c r="B117" s="46" t="s">
        <v>122</v>
      </c>
      <c r="C117" s="162" t="s">
        <v>344</v>
      </c>
      <c r="D117" s="20" t="s">
        <v>9</v>
      </c>
      <c r="E117" s="34" t="s">
        <v>608</v>
      </c>
      <c r="F117" s="48">
        <f>10+104</f>
        <v>114</v>
      </c>
      <c r="G117" s="27"/>
      <c r="H117" s="27"/>
      <c r="I117" s="26"/>
      <c r="J117" s="53"/>
      <c r="K117" s="28"/>
      <c r="L117" s="23"/>
      <c r="M117" s="21">
        <v>0.21</v>
      </c>
      <c r="N117" s="29"/>
      <c r="O117" s="151"/>
      <c r="P117" s="58" t="s">
        <v>627</v>
      </c>
      <c r="Q117" s="30"/>
      <c r="R117" s="20">
        <v>1863202</v>
      </c>
    </row>
    <row r="118" spans="1:18" s="2" customFormat="1" ht="14.4" x14ac:dyDescent="0.3">
      <c r="A118" s="20">
        <v>113</v>
      </c>
      <c r="B118" s="46" t="s">
        <v>123</v>
      </c>
      <c r="C118" s="156" t="s">
        <v>346</v>
      </c>
      <c r="D118" s="22" t="s">
        <v>9</v>
      </c>
      <c r="E118" s="34" t="s">
        <v>608</v>
      </c>
      <c r="F118" s="48">
        <f>100+2959</f>
        <v>3059</v>
      </c>
      <c r="G118" s="27"/>
      <c r="H118" s="27"/>
      <c r="I118" s="26"/>
      <c r="J118" s="53"/>
      <c r="K118" s="28"/>
      <c r="L118" s="23"/>
      <c r="M118" s="21">
        <v>0.21</v>
      </c>
      <c r="N118" s="29"/>
      <c r="O118" s="151"/>
      <c r="P118" s="58" t="s">
        <v>618</v>
      </c>
      <c r="Q118" s="30"/>
      <c r="R118" s="20">
        <v>102491</v>
      </c>
    </row>
    <row r="119" spans="1:18" s="2" customFormat="1" ht="30" customHeight="1" x14ac:dyDescent="0.3">
      <c r="A119" s="20">
        <v>114</v>
      </c>
      <c r="B119" s="46" t="s">
        <v>124</v>
      </c>
      <c r="C119" s="156" t="s">
        <v>347</v>
      </c>
      <c r="D119" s="22" t="s">
        <v>9</v>
      </c>
      <c r="E119" s="34" t="s">
        <v>608</v>
      </c>
      <c r="F119" s="48">
        <f>100+273</f>
        <v>373</v>
      </c>
      <c r="G119" s="27"/>
      <c r="H119" s="27"/>
      <c r="I119" s="26"/>
      <c r="J119" s="53"/>
      <c r="K119" s="28"/>
      <c r="L119" s="23"/>
      <c r="M119" s="24">
        <v>0.21</v>
      </c>
      <c r="N119" s="29"/>
      <c r="O119" s="151"/>
      <c r="P119" s="39"/>
      <c r="Q119" s="30"/>
      <c r="R119" s="20">
        <v>978532</v>
      </c>
    </row>
    <row r="120" spans="1:18" s="2" customFormat="1" ht="28.8" x14ac:dyDescent="0.3">
      <c r="A120" s="20">
        <v>115</v>
      </c>
      <c r="B120" s="46" t="s">
        <v>126</v>
      </c>
      <c r="C120" s="156" t="s">
        <v>589</v>
      </c>
      <c r="D120" s="20" t="s">
        <v>9</v>
      </c>
      <c r="E120" s="34" t="s">
        <v>608</v>
      </c>
      <c r="F120" s="48">
        <f>150+882</f>
        <v>1032</v>
      </c>
      <c r="G120" s="27"/>
      <c r="H120" s="27"/>
      <c r="I120" s="26"/>
      <c r="J120" s="53"/>
      <c r="K120" s="28"/>
      <c r="L120" s="23"/>
      <c r="M120" s="21">
        <v>0.21</v>
      </c>
      <c r="N120" s="29"/>
      <c r="O120" s="151"/>
      <c r="P120" s="58" t="s">
        <v>628</v>
      </c>
      <c r="Q120" s="30"/>
      <c r="R120" s="20"/>
    </row>
    <row r="121" spans="1:18" s="2" customFormat="1" ht="28.8" x14ac:dyDescent="0.3">
      <c r="A121" s="20">
        <v>116</v>
      </c>
      <c r="B121" s="46" t="s">
        <v>130</v>
      </c>
      <c r="C121" s="156" t="s">
        <v>349</v>
      </c>
      <c r="D121" s="22" t="s">
        <v>9</v>
      </c>
      <c r="E121" s="34" t="s">
        <v>608</v>
      </c>
      <c r="F121" s="48">
        <f>20+58</f>
        <v>78</v>
      </c>
      <c r="G121" s="27"/>
      <c r="H121" s="27"/>
      <c r="I121" s="26"/>
      <c r="J121" s="53"/>
      <c r="K121" s="28"/>
      <c r="L121" s="23"/>
      <c r="M121" s="21">
        <v>0.21</v>
      </c>
      <c r="N121" s="29"/>
      <c r="O121" s="151"/>
      <c r="P121" s="58" t="s">
        <v>627</v>
      </c>
      <c r="Q121" s="30"/>
      <c r="R121" s="20">
        <v>186991</v>
      </c>
    </row>
    <row r="122" spans="1:18" s="2" customFormat="1" ht="32.4" customHeight="1" x14ac:dyDescent="0.3">
      <c r="A122" s="20">
        <v>117</v>
      </c>
      <c r="B122" s="46" t="s">
        <v>131</v>
      </c>
      <c r="C122" s="156" t="s">
        <v>351</v>
      </c>
      <c r="D122" s="20" t="s">
        <v>9</v>
      </c>
      <c r="E122" s="34" t="s">
        <v>608</v>
      </c>
      <c r="F122" s="48">
        <f>10+19</f>
        <v>29</v>
      </c>
      <c r="G122" s="27"/>
      <c r="H122" s="27"/>
      <c r="I122" s="26"/>
      <c r="J122" s="53"/>
      <c r="K122" s="28"/>
      <c r="L122" s="23"/>
      <c r="M122" s="21">
        <v>0.21</v>
      </c>
      <c r="N122" s="29"/>
      <c r="O122" s="151"/>
      <c r="P122" s="39"/>
      <c r="Q122" s="30"/>
      <c r="R122" s="20">
        <v>4567004</v>
      </c>
    </row>
    <row r="123" spans="1:18" ht="28.8" customHeight="1" x14ac:dyDescent="0.3">
      <c r="A123" s="20">
        <v>118</v>
      </c>
      <c r="B123" s="46" t="s">
        <v>132</v>
      </c>
      <c r="C123" s="156" t="s">
        <v>353</v>
      </c>
      <c r="D123" s="22" t="s">
        <v>9</v>
      </c>
      <c r="E123" s="34" t="s">
        <v>608</v>
      </c>
      <c r="F123" s="48">
        <f>8+50</f>
        <v>58</v>
      </c>
      <c r="G123" s="20"/>
      <c r="H123" s="20"/>
      <c r="I123" s="20"/>
      <c r="J123" s="53"/>
      <c r="K123" s="20"/>
      <c r="L123" s="23"/>
      <c r="M123" s="21">
        <v>0.21</v>
      </c>
      <c r="N123" s="20"/>
      <c r="O123" s="48"/>
      <c r="P123" s="40"/>
      <c r="Q123" s="170"/>
      <c r="R123" s="20">
        <v>101896</v>
      </c>
    </row>
    <row r="124" spans="1:18" ht="28.8" x14ac:dyDescent="0.3">
      <c r="A124" s="20">
        <v>119</v>
      </c>
      <c r="B124" s="46" t="s">
        <v>133</v>
      </c>
      <c r="C124" s="156" t="s">
        <v>355</v>
      </c>
      <c r="D124" s="20" t="s">
        <v>9</v>
      </c>
      <c r="E124" s="34" t="s">
        <v>608</v>
      </c>
      <c r="F124" s="48">
        <f>20+133</f>
        <v>153</v>
      </c>
      <c r="G124" s="20"/>
      <c r="H124" s="20"/>
      <c r="I124" s="20"/>
      <c r="J124" s="53"/>
      <c r="K124" s="20"/>
      <c r="L124" s="23"/>
      <c r="M124" s="21">
        <v>0.21</v>
      </c>
      <c r="N124" s="20"/>
      <c r="O124" s="48"/>
      <c r="P124" s="58" t="s">
        <v>629</v>
      </c>
      <c r="Q124" s="20"/>
      <c r="R124" s="20">
        <v>102206</v>
      </c>
    </row>
    <row r="125" spans="1:18" ht="30" customHeight="1" x14ac:dyDescent="0.3">
      <c r="A125" s="20">
        <v>120</v>
      </c>
      <c r="B125" s="46" t="s">
        <v>134</v>
      </c>
      <c r="C125" s="156" t="s">
        <v>357</v>
      </c>
      <c r="D125" s="22" t="s">
        <v>9</v>
      </c>
      <c r="E125" s="34" t="s">
        <v>608</v>
      </c>
      <c r="F125" s="48">
        <f>10+0</f>
        <v>10</v>
      </c>
      <c r="G125" s="20"/>
      <c r="H125" s="20"/>
      <c r="I125" s="20"/>
      <c r="J125" s="53"/>
      <c r="K125" s="20"/>
      <c r="L125" s="23"/>
      <c r="M125" s="21">
        <v>0.21</v>
      </c>
      <c r="N125" s="20"/>
      <c r="O125" s="48"/>
      <c r="P125" s="40"/>
      <c r="Q125" s="170"/>
      <c r="R125" s="20">
        <v>4567117</v>
      </c>
    </row>
    <row r="126" spans="1:18" ht="29.4" customHeight="1" x14ac:dyDescent="0.3">
      <c r="A126" s="20">
        <v>121</v>
      </c>
      <c r="B126" s="46" t="s">
        <v>135</v>
      </c>
      <c r="C126" s="156" t="s">
        <v>359</v>
      </c>
      <c r="D126" s="20" t="s">
        <v>9</v>
      </c>
      <c r="E126" s="34" t="s">
        <v>608</v>
      </c>
      <c r="F126" s="48">
        <f>50+778</f>
        <v>828</v>
      </c>
      <c r="G126" s="20"/>
      <c r="H126" s="20"/>
      <c r="I126" s="20"/>
      <c r="J126" s="53"/>
      <c r="K126" s="20"/>
      <c r="L126" s="23"/>
      <c r="M126" s="21">
        <v>0.21</v>
      </c>
      <c r="N126" s="20"/>
      <c r="O126" s="48"/>
      <c r="P126" s="40"/>
      <c r="Q126" s="63"/>
      <c r="R126" s="20">
        <v>5178542</v>
      </c>
    </row>
    <row r="127" spans="1:18" ht="27" customHeight="1" x14ac:dyDescent="0.3">
      <c r="A127" s="20">
        <v>122</v>
      </c>
      <c r="B127" s="46" t="s">
        <v>136</v>
      </c>
      <c r="C127" s="156" t="s">
        <v>361</v>
      </c>
      <c r="D127" s="22" t="s">
        <v>9</v>
      </c>
      <c r="E127" s="34" t="s">
        <v>608</v>
      </c>
      <c r="F127" s="48">
        <f>20+0</f>
        <v>20</v>
      </c>
      <c r="G127" s="20"/>
      <c r="H127" s="20"/>
      <c r="I127" s="20"/>
      <c r="J127" s="53"/>
      <c r="K127" s="20"/>
      <c r="L127" s="23"/>
      <c r="M127" s="21">
        <v>0.21</v>
      </c>
      <c r="N127" s="20"/>
      <c r="O127" s="48"/>
      <c r="P127" s="40"/>
      <c r="Q127" s="63"/>
      <c r="R127" s="20">
        <v>5178531</v>
      </c>
    </row>
    <row r="128" spans="1:18" ht="36.6" customHeight="1" thickBot="1" x14ac:dyDescent="0.35">
      <c r="A128" s="20">
        <v>123</v>
      </c>
      <c r="B128" s="68" t="s">
        <v>137</v>
      </c>
      <c r="C128" s="156" t="s">
        <v>363</v>
      </c>
      <c r="D128" s="67" t="s">
        <v>9</v>
      </c>
      <c r="E128" s="34" t="s">
        <v>608</v>
      </c>
      <c r="F128" s="67">
        <f>100+3499</f>
        <v>3599</v>
      </c>
      <c r="G128" s="67"/>
      <c r="H128" s="67"/>
      <c r="I128" s="67"/>
      <c r="J128" s="72"/>
      <c r="K128" s="67"/>
      <c r="L128" s="93"/>
      <c r="M128" s="94">
        <v>0.21</v>
      </c>
      <c r="N128" s="67"/>
      <c r="O128" s="67"/>
      <c r="P128" s="126"/>
      <c r="Q128" s="67"/>
      <c r="R128" s="20"/>
    </row>
    <row r="129" spans="1:18" ht="15" thickBot="1" x14ac:dyDescent="0.35">
      <c r="A129" s="132"/>
      <c r="B129" s="133"/>
      <c r="C129" s="163" t="s">
        <v>365</v>
      </c>
      <c r="D129" s="134"/>
      <c r="E129" s="135"/>
      <c r="F129" s="135"/>
      <c r="G129" s="136"/>
      <c r="H129" s="136"/>
      <c r="I129" s="134"/>
      <c r="J129" s="137"/>
      <c r="K129" s="138"/>
      <c r="L129" s="139"/>
      <c r="M129" s="139"/>
      <c r="N129" s="140"/>
      <c r="O129" s="140"/>
      <c r="P129" s="90"/>
      <c r="Q129" s="147"/>
    </row>
    <row r="130" spans="1:18" ht="63.6" customHeight="1" x14ac:dyDescent="0.3">
      <c r="A130" s="34">
        <v>124</v>
      </c>
      <c r="B130" s="79" t="s">
        <v>138</v>
      </c>
      <c r="C130" s="156" t="s">
        <v>367</v>
      </c>
      <c r="D130" s="34" t="s">
        <v>9</v>
      </c>
      <c r="E130" s="34" t="s">
        <v>608</v>
      </c>
      <c r="F130" s="34">
        <f>50+0</f>
        <v>50</v>
      </c>
      <c r="G130" s="34"/>
      <c r="H130" s="34"/>
      <c r="I130" s="34"/>
      <c r="J130" s="131"/>
      <c r="K130" s="34"/>
      <c r="L130" s="35"/>
      <c r="M130" s="36">
        <v>0.21</v>
      </c>
      <c r="N130" s="34"/>
      <c r="O130" s="34"/>
      <c r="P130" s="114"/>
      <c r="Q130" s="34"/>
    </row>
    <row r="131" spans="1:18" ht="52.2" customHeight="1" x14ac:dyDescent="0.3">
      <c r="A131" s="20">
        <v>125</v>
      </c>
      <c r="B131" s="46" t="s">
        <v>139</v>
      </c>
      <c r="C131" s="156" t="s">
        <v>369</v>
      </c>
      <c r="D131" s="20" t="s">
        <v>9</v>
      </c>
      <c r="E131" s="34" t="s">
        <v>608</v>
      </c>
      <c r="F131" s="48">
        <f>10+295</f>
        <v>305</v>
      </c>
      <c r="G131" s="20"/>
      <c r="H131" s="20"/>
      <c r="I131" s="20"/>
      <c r="J131" s="64"/>
      <c r="K131" s="22"/>
      <c r="L131" s="188"/>
      <c r="M131" s="21">
        <v>0.21</v>
      </c>
      <c r="N131" s="20"/>
      <c r="O131" s="48"/>
      <c r="P131" s="40"/>
      <c r="Q131" s="20"/>
    </row>
    <row r="132" spans="1:18" ht="55.2" customHeight="1" x14ac:dyDescent="0.3">
      <c r="A132" s="34">
        <v>126</v>
      </c>
      <c r="B132" s="46" t="s">
        <v>140</v>
      </c>
      <c r="C132" s="156" t="s">
        <v>371</v>
      </c>
      <c r="D132" s="20" t="s">
        <v>9</v>
      </c>
      <c r="E132" s="34" t="s">
        <v>608</v>
      </c>
      <c r="F132" s="48">
        <f>10+55</f>
        <v>65</v>
      </c>
      <c r="G132" s="20"/>
      <c r="H132" s="20"/>
      <c r="I132" s="20"/>
      <c r="J132" s="64"/>
      <c r="K132" s="22"/>
      <c r="L132" s="188"/>
      <c r="M132" s="21">
        <v>0.21</v>
      </c>
      <c r="N132" s="20"/>
      <c r="O132" s="48"/>
      <c r="P132" s="40"/>
      <c r="Q132" s="20"/>
      <c r="R132" s="20">
        <v>6397501</v>
      </c>
    </row>
    <row r="133" spans="1:18" ht="61.8" customHeight="1" x14ac:dyDescent="0.3">
      <c r="A133" s="20">
        <v>127</v>
      </c>
      <c r="B133" s="46" t="s">
        <v>141</v>
      </c>
      <c r="C133" s="156" t="s">
        <v>373</v>
      </c>
      <c r="D133" s="20" t="s">
        <v>9</v>
      </c>
      <c r="E133" s="34" t="s">
        <v>608</v>
      </c>
      <c r="F133" s="48">
        <f>10+343</f>
        <v>353</v>
      </c>
      <c r="G133" s="20"/>
      <c r="H133" s="20"/>
      <c r="I133" s="20"/>
      <c r="J133" s="64"/>
      <c r="K133" s="22"/>
      <c r="L133" s="188"/>
      <c r="M133" s="21">
        <v>0.21</v>
      </c>
      <c r="N133" s="20"/>
      <c r="O133" s="48"/>
      <c r="P133" s="40"/>
      <c r="Q133" s="20"/>
      <c r="R133" s="20">
        <v>6397498</v>
      </c>
    </row>
    <row r="134" spans="1:18" ht="65.400000000000006" customHeight="1" x14ac:dyDescent="0.3">
      <c r="A134" s="34">
        <v>128</v>
      </c>
      <c r="B134" s="46" t="s">
        <v>142</v>
      </c>
      <c r="C134" s="156" t="s">
        <v>375</v>
      </c>
      <c r="D134" s="20" t="s">
        <v>9</v>
      </c>
      <c r="E134" s="34" t="s">
        <v>608</v>
      </c>
      <c r="F134" s="48">
        <f>10+182</f>
        <v>192</v>
      </c>
      <c r="G134" s="20"/>
      <c r="H134" s="20"/>
      <c r="I134" s="20"/>
      <c r="J134" s="64"/>
      <c r="K134" s="22"/>
      <c r="L134" s="188"/>
      <c r="M134" s="21">
        <v>0.21</v>
      </c>
      <c r="N134" s="20"/>
      <c r="O134" s="48"/>
      <c r="P134" s="40"/>
      <c r="Q134" s="20"/>
      <c r="R134" s="20"/>
    </row>
    <row r="135" spans="1:18" ht="56.4" customHeight="1" x14ac:dyDescent="0.3">
      <c r="A135" s="20">
        <v>129</v>
      </c>
      <c r="B135" s="46" t="s">
        <v>143</v>
      </c>
      <c r="C135" s="156" t="s">
        <v>377</v>
      </c>
      <c r="D135" s="20" t="s">
        <v>9</v>
      </c>
      <c r="E135" s="34" t="s">
        <v>608</v>
      </c>
      <c r="F135" s="48">
        <f>5+0</f>
        <v>5</v>
      </c>
      <c r="G135" s="20"/>
      <c r="H135" s="20"/>
      <c r="I135" s="20"/>
      <c r="J135" s="64"/>
      <c r="K135" s="22"/>
      <c r="L135" s="188"/>
      <c r="M135" s="21">
        <v>0.21</v>
      </c>
      <c r="N135" s="20"/>
      <c r="O135" s="48"/>
      <c r="P135" s="40"/>
      <c r="Q135" s="20"/>
      <c r="R135" s="20"/>
    </row>
    <row r="136" spans="1:18" ht="55.2" customHeight="1" x14ac:dyDescent="0.3">
      <c r="A136" s="34">
        <v>130</v>
      </c>
      <c r="B136" s="46" t="s">
        <v>144</v>
      </c>
      <c r="C136" s="156" t="s">
        <v>379</v>
      </c>
      <c r="D136" s="20" t="s">
        <v>9</v>
      </c>
      <c r="E136" s="34" t="s">
        <v>608</v>
      </c>
      <c r="F136" s="48">
        <f>5+47</f>
        <v>52</v>
      </c>
      <c r="G136" s="20"/>
      <c r="H136" s="20"/>
      <c r="I136" s="20"/>
      <c r="J136" s="64"/>
      <c r="K136" s="22"/>
      <c r="L136" s="188"/>
      <c r="M136" s="21">
        <v>0.21</v>
      </c>
      <c r="N136" s="20"/>
      <c r="O136" s="48"/>
      <c r="P136" s="40"/>
      <c r="Q136" s="20"/>
      <c r="R136" s="20"/>
    </row>
    <row r="137" spans="1:18" ht="20.399999999999999" x14ac:dyDescent="0.3">
      <c r="A137" s="20">
        <v>131</v>
      </c>
      <c r="B137" s="46" t="s">
        <v>145</v>
      </c>
      <c r="C137" s="156" t="s">
        <v>381</v>
      </c>
      <c r="D137" s="20" t="s">
        <v>9</v>
      </c>
      <c r="E137" s="34" t="s">
        <v>608</v>
      </c>
      <c r="F137" s="48">
        <f>5+15</f>
        <v>20</v>
      </c>
      <c r="G137" s="20"/>
      <c r="H137" s="20"/>
      <c r="I137" s="20"/>
      <c r="J137" s="64"/>
      <c r="K137" s="22"/>
      <c r="L137" s="188"/>
      <c r="M137" s="21">
        <v>0.21</v>
      </c>
      <c r="N137" s="20"/>
      <c r="O137" s="48"/>
      <c r="P137" s="40"/>
      <c r="Q137" s="20"/>
      <c r="R137" s="20">
        <v>6397922</v>
      </c>
    </row>
    <row r="138" spans="1:18" ht="37.799999999999997" customHeight="1" x14ac:dyDescent="0.3">
      <c r="A138" s="34">
        <v>132</v>
      </c>
      <c r="B138" s="46" t="s">
        <v>146</v>
      </c>
      <c r="C138" s="156" t="s">
        <v>383</v>
      </c>
      <c r="D138" s="20" t="s">
        <v>9</v>
      </c>
      <c r="E138" s="34" t="s">
        <v>608</v>
      </c>
      <c r="F138" s="48">
        <f>10+9</f>
        <v>19</v>
      </c>
      <c r="G138" s="20"/>
      <c r="H138" s="20"/>
      <c r="I138" s="20"/>
      <c r="J138" s="64"/>
      <c r="K138" s="22"/>
      <c r="L138" s="188"/>
      <c r="M138" s="21">
        <v>0.21</v>
      </c>
      <c r="N138" s="20"/>
      <c r="O138" s="48"/>
      <c r="P138" s="40"/>
      <c r="Q138" s="20"/>
      <c r="R138" s="20"/>
    </row>
    <row r="139" spans="1:18" ht="39" customHeight="1" x14ac:dyDescent="0.3">
      <c r="A139" s="20">
        <v>133</v>
      </c>
      <c r="B139" s="46" t="s">
        <v>147</v>
      </c>
      <c r="C139" s="156" t="s">
        <v>385</v>
      </c>
      <c r="D139" s="20" t="s">
        <v>9</v>
      </c>
      <c r="E139" s="34" t="s">
        <v>608</v>
      </c>
      <c r="F139" s="48">
        <f>15+724</f>
        <v>739</v>
      </c>
      <c r="G139" s="20"/>
      <c r="H139" s="20"/>
      <c r="I139" s="20"/>
      <c r="J139" s="64"/>
      <c r="K139" s="22"/>
      <c r="L139" s="188"/>
      <c r="M139" s="21">
        <v>0.21</v>
      </c>
      <c r="N139" s="20"/>
      <c r="O139" s="48"/>
      <c r="P139" s="40"/>
      <c r="Q139" s="20"/>
      <c r="R139" s="20">
        <v>6397465</v>
      </c>
    </row>
    <row r="140" spans="1:18" ht="42" customHeight="1" x14ac:dyDescent="0.3">
      <c r="A140" s="34">
        <v>134</v>
      </c>
      <c r="B140" s="46" t="s">
        <v>148</v>
      </c>
      <c r="C140" s="156" t="s">
        <v>387</v>
      </c>
      <c r="D140" s="20" t="s">
        <v>9</v>
      </c>
      <c r="E140" s="34" t="s">
        <v>608</v>
      </c>
      <c r="F140" s="48">
        <f>10+29</f>
        <v>39</v>
      </c>
      <c r="G140" s="20"/>
      <c r="H140" s="20"/>
      <c r="I140" s="20"/>
      <c r="J140" s="64"/>
      <c r="K140" s="22"/>
      <c r="L140" s="188"/>
      <c r="M140" s="21">
        <v>0.21</v>
      </c>
      <c r="N140" s="20"/>
      <c r="O140" s="48"/>
      <c r="P140" s="40"/>
      <c r="Q140" s="20"/>
      <c r="R140" s="20">
        <v>6397328</v>
      </c>
    </row>
    <row r="141" spans="1:18" ht="49.8" customHeight="1" thickBot="1" x14ac:dyDescent="0.35">
      <c r="A141" s="20">
        <v>135</v>
      </c>
      <c r="B141" s="68" t="s">
        <v>149</v>
      </c>
      <c r="C141" s="157" t="s">
        <v>389</v>
      </c>
      <c r="D141" s="67" t="s">
        <v>9</v>
      </c>
      <c r="E141" s="34" t="s">
        <v>608</v>
      </c>
      <c r="F141" s="67">
        <f>10+7</f>
        <v>17</v>
      </c>
      <c r="G141" s="67"/>
      <c r="H141" s="67"/>
      <c r="I141" s="67"/>
      <c r="J141" s="189"/>
      <c r="K141" s="69"/>
      <c r="L141" s="74"/>
      <c r="M141" s="94">
        <v>0.21</v>
      </c>
      <c r="N141" s="67"/>
      <c r="O141" s="67"/>
      <c r="P141" s="126"/>
      <c r="Q141" s="67"/>
      <c r="R141" s="20"/>
    </row>
    <row r="142" spans="1:18" ht="15" thickBot="1" x14ac:dyDescent="0.35">
      <c r="A142" s="144"/>
      <c r="B142" s="135"/>
      <c r="C142" s="163" t="s">
        <v>391</v>
      </c>
      <c r="D142" s="134"/>
      <c r="E142" s="135"/>
      <c r="F142" s="135"/>
      <c r="G142" s="136"/>
      <c r="H142" s="136"/>
      <c r="I142" s="134"/>
      <c r="J142" s="137"/>
      <c r="K142" s="138"/>
      <c r="L142" s="139"/>
      <c r="M142" s="139"/>
      <c r="N142" s="140"/>
      <c r="O142" s="140"/>
      <c r="P142" s="90"/>
      <c r="Q142" s="90"/>
    </row>
    <row r="143" spans="1:18" ht="79.8" customHeight="1" x14ac:dyDescent="0.3">
      <c r="A143" s="141">
        <v>136</v>
      </c>
      <c r="B143" s="79">
        <v>4140</v>
      </c>
      <c r="C143" s="156" t="s">
        <v>728</v>
      </c>
      <c r="D143" s="141" t="s">
        <v>9</v>
      </c>
      <c r="E143" s="34" t="s">
        <v>608</v>
      </c>
      <c r="F143" s="34">
        <f>20+14</f>
        <v>34</v>
      </c>
      <c r="G143" s="141"/>
      <c r="H143" s="141"/>
      <c r="I143" s="141"/>
      <c r="J143" s="80"/>
      <c r="K143" s="141"/>
      <c r="L143" s="187"/>
      <c r="M143" s="142">
        <v>0.21</v>
      </c>
      <c r="N143" s="141"/>
      <c r="O143" s="141"/>
      <c r="P143" s="143"/>
      <c r="Q143" s="141"/>
      <c r="R143" s="20">
        <v>2962484</v>
      </c>
    </row>
    <row r="144" spans="1:18" ht="39" customHeight="1" x14ac:dyDescent="0.3">
      <c r="A144" s="20">
        <v>137</v>
      </c>
      <c r="B144" s="46" t="s">
        <v>169</v>
      </c>
      <c r="C144" s="164" t="s">
        <v>590</v>
      </c>
      <c r="D144" s="20" t="s">
        <v>9</v>
      </c>
      <c r="E144" s="34" t="s">
        <v>608</v>
      </c>
      <c r="F144" s="48">
        <f>200+0</f>
        <v>200</v>
      </c>
      <c r="G144" s="20"/>
      <c r="H144" s="20"/>
      <c r="I144" s="20"/>
      <c r="J144" s="51"/>
      <c r="K144" s="22"/>
      <c r="L144" s="188"/>
      <c r="M144" s="21">
        <v>0.21</v>
      </c>
      <c r="N144" s="20"/>
      <c r="O144" s="48"/>
      <c r="P144" s="40"/>
      <c r="Q144" s="20"/>
    </row>
    <row r="145" spans="1:18" ht="42" customHeight="1" x14ac:dyDescent="0.3">
      <c r="A145" s="141">
        <v>138</v>
      </c>
      <c r="B145" s="46" t="s">
        <v>170</v>
      </c>
      <c r="C145" s="156" t="s">
        <v>393</v>
      </c>
      <c r="D145" s="20" t="s">
        <v>9</v>
      </c>
      <c r="E145" s="34" t="s">
        <v>608</v>
      </c>
      <c r="F145" s="48">
        <f>300+935</f>
        <v>1235</v>
      </c>
      <c r="G145" s="20"/>
      <c r="H145" s="20"/>
      <c r="I145" s="20"/>
      <c r="J145" s="53"/>
      <c r="K145" s="22"/>
      <c r="L145" s="188"/>
      <c r="M145" s="21">
        <v>0.21</v>
      </c>
      <c r="N145" s="20"/>
      <c r="O145" s="48"/>
      <c r="P145" s="40"/>
      <c r="Q145" s="20"/>
    </row>
    <row r="146" spans="1:18" ht="30" customHeight="1" x14ac:dyDescent="0.3">
      <c r="A146" s="20">
        <v>139</v>
      </c>
      <c r="B146" s="46">
        <v>167</v>
      </c>
      <c r="C146" s="156" t="s">
        <v>395</v>
      </c>
      <c r="D146" s="20" t="s">
        <v>9</v>
      </c>
      <c r="E146" s="34" t="s">
        <v>608</v>
      </c>
      <c r="F146" s="48">
        <f>20+127</f>
        <v>147</v>
      </c>
      <c r="G146" s="20"/>
      <c r="H146" s="20"/>
      <c r="I146" s="20"/>
      <c r="J146" s="53"/>
      <c r="K146" s="22"/>
      <c r="L146" s="188"/>
      <c r="M146" s="21">
        <v>0.21</v>
      </c>
      <c r="N146" s="20"/>
      <c r="O146" s="48"/>
      <c r="P146" s="40"/>
      <c r="Q146" s="20"/>
    </row>
    <row r="147" spans="1:18" ht="32.4" customHeight="1" x14ac:dyDescent="0.3">
      <c r="A147" s="141">
        <v>140</v>
      </c>
      <c r="B147" s="46" t="s">
        <v>150</v>
      </c>
      <c r="C147" s="156" t="s">
        <v>397</v>
      </c>
      <c r="D147" s="20" t="s">
        <v>9</v>
      </c>
      <c r="E147" s="34" t="s">
        <v>608</v>
      </c>
      <c r="F147" s="48">
        <f>4+27</f>
        <v>31</v>
      </c>
      <c r="G147" s="20"/>
      <c r="H147" s="20"/>
      <c r="I147" s="20"/>
      <c r="J147" s="51"/>
      <c r="K147" s="22"/>
      <c r="L147" s="188"/>
      <c r="M147" s="21">
        <v>0.21</v>
      </c>
      <c r="N147" s="20"/>
      <c r="O147" s="48"/>
      <c r="P147" s="40"/>
      <c r="Q147" s="20"/>
    </row>
    <row r="148" spans="1:18" ht="31.8" customHeight="1" x14ac:dyDescent="0.3">
      <c r="A148" s="20">
        <v>141</v>
      </c>
      <c r="B148" s="46" t="s">
        <v>151</v>
      </c>
      <c r="C148" s="156" t="s">
        <v>399</v>
      </c>
      <c r="D148" s="20" t="s">
        <v>9</v>
      </c>
      <c r="E148" s="34" t="s">
        <v>608</v>
      </c>
      <c r="F148" s="48">
        <f>4+58</f>
        <v>62</v>
      </c>
      <c r="G148" s="20"/>
      <c r="H148" s="20"/>
      <c r="I148" s="20"/>
      <c r="J148" s="53"/>
      <c r="K148" s="22"/>
      <c r="L148" s="188"/>
      <c r="M148" s="21">
        <v>0.21</v>
      </c>
      <c r="N148" s="20"/>
      <c r="O148" s="48"/>
      <c r="P148" s="40"/>
      <c r="Q148" s="20"/>
    </row>
    <row r="149" spans="1:18" ht="43.2" customHeight="1" x14ac:dyDescent="0.3">
      <c r="A149" s="141">
        <v>142</v>
      </c>
      <c r="B149" s="46" t="s">
        <v>152</v>
      </c>
      <c r="C149" s="156" t="s">
        <v>401</v>
      </c>
      <c r="D149" s="20" t="s">
        <v>9</v>
      </c>
      <c r="E149" s="34" t="s">
        <v>608</v>
      </c>
      <c r="F149" s="48">
        <f>4+54</f>
        <v>58</v>
      </c>
      <c r="G149" s="20"/>
      <c r="H149" s="20"/>
      <c r="I149" s="20"/>
      <c r="J149" s="51"/>
      <c r="K149" s="22"/>
      <c r="L149" s="188"/>
      <c r="M149" s="21">
        <v>0.21</v>
      </c>
      <c r="N149" s="20"/>
      <c r="O149" s="48"/>
      <c r="P149" s="40"/>
      <c r="Q149" s="20"/>
    </row>
    <row r="150" spans="1:18" ht="45" customHeight="1" x14ac:dyDescent="0.3">
      <c r="A150" s="20">
        <v>143</v>
      </c>
      <c r="B150" s="46" t="s">
        <v>153</v>
      </c>
      <c r="C150" s="156" t="s">
        <v>403</v>
      </c>
      <c r="D150" s="20" t="s">
        <v>9</v>
      </c>
      <c r="E150" s="34" t="s">
        <v>608</v>
      </c>
      <c r="F150" s="48">
        <f>4+132</f>
        <v>136</v>
      </c>
      <c r="G150" s="20"/>
      <c r="H150" s="20"/>
      <c r="I150" s="20"/>
      <c r="J150" s="53"/>
      <c r="K150" s="22"/>
      <c r="L150" s="188"/>
      <c r="M150" s="21">
        <v>0.21</v>
      </c>
      <c r="N150" s="20"/>
      <c r="O150" s="48"/>
      <c r="P150" s="40"/>
      <c r="Q150" s="20"/>
    </row>
    <row r="151" spans="1:18" ht="30.6" x14ac:dyDescent="0.3">
      <c r="A151" s="141">
        <v>144</v>
      </c>
      <c r="B151" s="46" t="s">
        <v>154</v>
      </c>
      <c r="C151" s="156" t="s">
        <v>405</v>
      </c>
      <c r="D151" s="20" t="s">
        <v>9</v>
      </c>
      <c r="E151" s="34" t="s">
        <v>608</v>
      </c>
      <c r="F151" s="48">
        <f>20+174</f>
        <v>194</v>
      </c>
      <c r="G151" s="20"/>
      <c r="H151" s="20"/>
      <c r="I151" s="20"/>
      <c r="J151" s="51"/>
      <c r="K151" s="22"/>
      <c r="L151" s="188"/>
      <c r="M151" s="21">
        <v>0.21</v>
      </c>
      <c r="N151" s="20"/>
      <c r="O151" s="48"/>
      <c r="P151" s="40"/>
      <c r="Q151" s="20"/>
    </row>
    <row r="152" spans="1:18" ht="65.400000000000006" customHeight="1" x14ac:dyDescent="0.3">
      <c r="A152" s="20">
        <v>145</v>
      </c>
      <c r="B152" s="46" t="s">
        <v>155</v>
      </c>
      <c r="C152" s="156" t="s">
        <v>407</v>
      </c>
      <c r="D152" s="20" t="s">
        <v>9</v>
      </c>
      <c r="E152" s="34" t="s">
        <v>608</v>
      </c>
      <c r="F152" s="48">
        <f>4+0</f>
        <v>4</v>
      </c>
      <c r="G152" s="20"/>
      <c r="H152" s="20"/>
      <c r="I152" s="20"/>
      <c r="J152" s="53"/>
      <c r="K152" s="22"/>
      <c r="L152" s="188"/>
      <c r="M152" s="21">
        <v>0.21</v>
      </c>
      <c r="N152" s="20"/>
      <c r="O152" s="48"/>
      <c r="P152" s="40"/>
      <c r="Q152" s="20"/>
    </row>
    <row r="153" spans="1:18" ht="28.2" customHeight="1" x14ac:dyDescent="0.3">
      <c r="A153" s="141">
        <v>146</v>
      </c>
      <c r="B153" s="46" t="s">
        <v>156</v>
      </c>
      <c r="C153" s="156" t="s">
        <v>409</v>
      </c>
      <c r="D153" s="20" t="s">
        <v>9</v>
      </c>
      <c r="E153" s="34" t="s">
        <v>608</v>
      </c>
      <c r="F153" s="48">
        <f>10+163</f>
        <v>173</v>
      </c>
      <c r="G153" s="20"/>
      <c r="H153" s="20"/>
      <c r="I153" s="20"/>
      <c r="J153" s="53"/>
      <c r="K153" s="22"/>
      <c r="L153" s="188"/>
      <c r="M153" s="21">
        <v>0.21</v>
      </c>
      <c r="N153" s="20"/>
      <c r="O153" s="48"/>
      <c r="P153" s="40"/>
      <c r="Q153" s="20"/>
    </row>
    <row r="154" spans="1:18" ht="22.2" customHeight="1" x14ac:dyDescent="0.3">
      <c r="A154" s="20">
        <v>147</v>
      </c>
      <c r="B154" s="46" t="s">
        <v>157</v>
      </c>
      <c r="C154" s="156" t="s">
        <v>411</v>
      </c>
      <c r="D154" s="20" t="s">
        <v>9</v>
      </c>
      <c r="E154" s="34" t="s">
        <v>608</v>
      </c>
      <c r="F154" s="48">
        <f>15+169</f>
        <v>184</v>
      </c>
      <c r="G154" s="20"/>
      <c r="H154" s="20"/>
      <c r="I154" s="20"/>
      <c r="J154" s="51"/>
      <c r="K154" s="22"/>
      <c r="L154" s="188"/>
      <c r="M154" s="21">
        <v>0.21</v>
      </c>
      <c r="N154" s="20"/>
      <c r="O154" s="48"/>
      <c r="P154" s="40"/>
      <c r="Q154" s="20"/>
    </row>
    <row r="155" spans="1:18" ht="33" customHeight="1" x14ac:dyDescent="0.3">
      <c r="A155" s="141">
        <v>148</v>
      </c>
      <c r="B155" s="46" t="s">
        <v>192</v>
      </c>
      <c r="C155" s="156" t="s">
        <v>413</v>
      </c>
      <c r="D155" s="20" t="s">
        <v>9</v>
      </c>
      <c r="E155" s="34" t="s">
        <v>608</v>
      </c>
      <c r="F155" s="48">
        <f>4+0</f>
        <v>4</v>
      </c>
      <c r="G155" s="20"/>
      <c r="H155" s="20"/>
      <c r="I155" s="20"/>
      <c r="J155" s="53"/>
      <c r="K155" s="22"/>
      <c r="L155" s="188"/>
      <c r="M155" s="21">
        <v>0.21</v>
      </c>
      <c r="N155" s="20"/>
      <c r="O155" s="48"/>
      <c r="P155" s="40"/>
      <c r="Q155" s="63"/>
      <c r="R155" s="66">
        <v>9130112</v>
      </c>
    </row>
    <row r="156" spans="1:18" ht="28.8" customHeight="1" x14ac:dyDescent="0.3">
      <c r="A156" s="20">
        <v>149</v>
      </c>
      <c r="B156" s="46" t="s">
        <v>203</v>
      </c>
      <c r="C156" s="156" t="s">
        <v>414</v>
      </c>
      <c r="D156" s="20" t="s">
        <v>9</v>
      </c>
      <c r="E156" s="34" t="s">
        <v>608</v>
      </c>
      <c r="F156" s="48">
        <f>4+0</f>
        <v>4</v>
      </c>
      <c r="G156" s="20"/>
      <c r="H156" s="20"/>
      <c r="I156" s="20"/>
      <c r="J156" s="51"/>
      <c r="K156" s="22"/>
      <c r="L156" s="188"/>
      <c r="M156" s="21">
        <v>0.21</v>
      </c>
      <c r="N156" s="20"/>
      <c r="O156" s="48"/>
      <c r="P156" s="40"/>
      <c r="Q156" s="65"/>
      <c r="R156" s="66" t="s">
        <v>221</v>
      </c>
    </row>
    <row r="157" spans="1:18" ht="33" customHeight="1" thickBot="1" x14ac:dyDescent="0.35">
      <c r="A157" s="141">
        <v>150</v>
      </c>
      <c r="B157" s="68" t="s">
        <v>204</v>
      </c>
      <c r="C157" s="156" t="s">
        <v>416</v>
      </c>
      <c r="D157" s="67" t="s">
        <v>9</v>
      </c>
      <c r="E157" s="34" t="s">
        <v>608</v>
      </c>
      <c r="F157" s="67">
        <f>4+1</f>
        <v>5</v>
      </c>
      <c r="G157" s="67"/>
      <c r="H157" s="67"/>
      <c r="I157" s="67"/>
      <c r="J157" s="72"/>
      <c r="K157" s="69"/>
      <c r="L157" s="74"/>
      <c r="M157" s="94">
        <v>0.21</v>
      </c>
      <c r="N157" s="67"/>
      <c r="O157" s="67"/>
      <c r="P157" s="126"/>
      <c r="Q157" s="145"/>
      <c r="R157" s="66" t="s">
        <v>222</v>
      </c>
    </row>
    <row r="158" spans="1:18" ht="45.6" customHeight="1" thickBot="1" x14ac:dyDescent="0.35">
      <c r="A158" s="82"/>
      <c r="B158" s="104"/>
      <c r="C158" s="165" t="s">
        <v>418</v>
      </c>
      <c r="D158" s="83"/>
      <c r="E158" s="83"/>
      <c r="F158" s="83"/>
      <c r="G158" s="85"/>
      <c r="H158" s="85"/>
      <c r="I158" s="83"/>
      <c r="J158" s="86"/>
      <c r="K158" s="87"/>
      <c r="L158" s="86"/>
      <c r="M158" s="88"/>
      <c r="N158" s="89"/>
      <c r="O158" s="89"/>
      <c r="P158" s="90"/>
      <c r="Q158" s="84"/>
    </row>
    <row r="159" spans="1:18" ht="51" customHeight="1" x14ac:dyDescent="0.3">
      <c r="A159" s="141">
        <v>151</v>
      </c>
      <c r="B159" s="146" t="s">
        <v>218</v>
      </c>
      <c r="C159" s="156" t="s">
        <v>420</v>
      </c>
      <c r="D159" s="141" t="s">
        <v>9</v>
      </c>
      <c r="E159" s="34" t="s">
        <v>608</v>
      </c>
      <c r="F159" s="34">
        <f>100+0</f>
        <v>100</v>
      </c>
      <c r="G159" s="97"/>
      <c r="H159" s="97"/>
      <c r="I159" s="98"/>
      <c r="J159" s="127"/>
      <c r="K159" s="99"/>
      <c r="L159" s="187"/>
      <c r="M159" s="142">
        <v>0.21</v>
      </c>
      <c r="N159" s="100"/>
      <c r="O159" s="100"/>
      <c r="P159" s="128"/>
      <c r="Q159" s="101"/>
    </row>
    <row r="160" spans="1:18" ht="31.2" customHeight="1" x14ac:dyDescent="0.3">
      <c r="A160" s="20">
        <v>152</v>
      </c>
      <c r="B160" s="46" t="s">
        <v>220</v>
      </c>
      <c r="C160" s="156" t="s">
        <v>591</v>
      </c>
      <c r="D160" s="20" t="s">
        <v>9</v>
      </c>
      <c r="E160" s="34" t="s">
        <v>608</v>
      </c>
      <c r="F160" s="48">
        <f>600+850</f>
        <v>1450</v>
      </c>
      <c r="G160" s="20"/>
      <c r="H160" s="20"/>
      <c r="I160" s="20"/>
      <c r="J160" s="51"/>
      <c r="K160" s="22"/>
      <c r="L160" s="188"/>
      <c r="M160" s="21">
        <v>0.21</v>
      </c>
      <c r="N160" s="20"/>
      <c r="O160" s="48"/>
      <c r="P160" s="40"/>
      <c r="Q160" s="30"/>
    </row>
    <row r="161" spans="1:18" s="2" customFormat="1" ht="31.2" customHeight="1" x14ac:dyDescent="0.3">
      <c r="A161" s="141">
        <v>153</v>
      </c>
      <c r="B161" s="46" t="s">
        <v>125</v>
      </c>
      <c r="C161" s="156" t="s">
        <v>422</v>
      </c>
      <c r="D161" s="22" t="s">
        <v>9</v>
      </c>
      <c r="E161" s="34" t="s">
        <v>608</v>
      </c>
      <c r="F161" s="48">
        <f>150+0</f>
        <v>150</v>
      </c>
      <c r="G161" s="27"/>
      <c r="H161" s="27"/>
      <c r="I161" s="26"/>
      <c r="J161" s="53"/>
      <c r="K161" s="28"/>
      <c r="L161" s="188"/>
      <c r="M161" s="21">
        <v>0.21</v>
      </c>
      <c r="N161" s="29"/>
      <c r="O161" s="151"/>
      <c r="P161" s="39"/>
      <c r="Q161" s="30"/>
    </row>
    <row r="162" spans="1:18" s="2" customFormat="1" ht="88.8" customHeight="1" x14ac:dyDescent="0.3">
      <c r="A162" s="20">
        <v>154</v>
      </c>
      <c r="B162" s="46" t="s">
        <v>118</v>
      </c>
      <c r="C162" s="156" t="s">
        <v>424</v>
      </c>
      <c r="D162" s="20" t="s">
        <v>9</v>
      </c>
      <c r="E162" s="34" t="s">
        <v>608</v>
      </c>
      <c r="F162" s="48">
        <f>600+1270</f>
        <v>1870</v>
      </c>
      <c r="G162" s="27"/>
      <c r="H162" s="27"/>
      <c r="I162" s="26"/>
      <c r="J162" s="53"/>
      <c r="K162" s="28"/>
      <c r="L162" s="188"/>
      <c r="M162" s="21">
        <v>0.21</v>
      </c>
      <c r="N162" s="29"/>
      <c r="O162" s="151"/>
      <c r="P162" s="39"/>
      <c r="Q162" s="30"/>
    </row>
    <row r="163" spans="1:18" s="2" customFormat="1" ht="78" customHeight="1" x14ac:dyDescent="0.3">
      <c r="A163" s="141">
        <v>155</v>
      </c>
      <c r="B163" s="46" t="s">
        <v>119</v>
      </c>
      <c r="C163" s="156" t="s">
        <v>592</v>
      </c>
      <c r="D163" s="22" t="s">
        <v>9</v>
      </c>
      <c r="E163" s="34" t="s">
        <v>608</v>
      </c>
      <c r="F163" s="48">
        <f>200+2333</f>
        <v>2533</v>
      </c>
      <c r="G163" s="27"/>
      <c r="H163" s="27"/>
      <c r="I163" s="26"/>
      <c r="J163" s="53"/>
      <c r="K163" s="28"/>
      <c r="L163" s="188"/>
      <c r="M163" s="21">
        <v>0.21</v>
      </c>
      <c r="N163" s="29"/>
      <c r="O163" s="151"/>
      <c r="P163" s="39"/>
      <c r="Q163" s="30"/>
    </row>
    <row r="164" spans="1:18" s="2" customFormat="1" ht="21.6" customHeight="1" thickBot="1" x14ac:dyDescent="0.35">
      <c r="A164" s="20">
        <v>156</v>
      </c>
      <c r="B164" s="68" t="s">
        <v>120</v>
      </c>
      <c r="C164" s="157" t="s">
        <v>427</v>
      </c>
      <c r="D164" s="67" t="s">
        <v>9</v>
      </c>
      <c r="E164" s="34" t="s">
        <v>608</v>
      </c>
      <c r="F164" s="67">
        <f>10+177</f>
        <v>187</v>
      </c>
      <c r="G164" s="70"/>
      <c r="H164" s="70"/>
      <c r="I164" s="71"/>
      <c r="J164" s="72"/>
      <c r="K164" s="73"/>
      <c r="L164" s="74"/>
      <c r="M164" s="94">
        <v>0.21</v>
      </c>
      <c r="N164" s="95"/>
      <c r="O164" s="95"/>
      <c r="P164" s="96"/>
      <c r="Q164" s="78"/>
    </row>
    <row r="165" spans="1:18" ht="15" thickBot="1" x14ac:dyDescent="0.35">
      <c r="A165" s="132"/>
      <c r="B165" s="135"/>
      <c r="C165" s="163" t="s">
        <v>429</v>
      </c>
      <c r="D165" s="134"/>
      <c r="E165" s="135"/>
      <c r="F165" s="135"/>
      <c r="G165" s="136"/>
      <c r="H165" s="136"/>
      <c r="I165" s="134"/>
      <c r="J165" s="137"/>
      <c r="K165" s="138"/>
      <c r="L165" s="139"/>
      <c r="M165" s="139"/>
      <c r="N165" s="140"/>
      <c r="O165" s="140"/>
      <c r="P165" s="90"/>
      <c r="Q165" s="90"/>
    </row>
    <row r="166" spans="1:18" ht="22.8" customHeight="1" x14ac:dyDescent="0.3">
      <c r="A166" s="141">
        <v>157</v>
      </c>
      <c r="B166" s="146" t="s">
        <v>127</v>
      </c>
      <c r="C166" s="156" t="s">
        <v>431</v>
      </c>
      <c r="D166" s="141" t="s">
        <v>9</v>
      </c>
      <c r="E166" s="34" t="s">
        <v>608</v>
      </c>
      <c r="F166" s="34">
        <f>10+167</f>
        <v>177</v>
      </c>
      <c r="G166" s="97"/>
      <c r="H166" s="97"/>
      <c r="I166" s="98"/>
      <c r="J166" s="127"/>
      <c r="K166" s="99"/>
      <c r="L166" s="187"/>
      <c r="M166" s="36">
        <v>0.21</v>
      </c>
      <c r="N166" s="100"/>
      <c r="O166" s="100"/>
      <c r="P166" s="128"/>
      <c r="Q166" s="101"/>
      <c r="R166" s="66">
        <v>185246</v>
      </c>
    </row>
    <row r="167" spans="1:18" ht="32.4" customHeight="1" x14ac:dyDescent="0.3">
      <c r="A167" s="20">
        <v>158</v>
      </c>
      <c r="B167" s="46" t="s">
        <v>128</v>
      </c>
      <c r="C167" s="156" t="s">
        <v>433</v>
      </c>
      <c r="D167" s="22" t="s">
        <v>9</v>
      </c>
      <c r="E167" s="34" t="s">
        <v>608</v>
      </c>
      <c r="F167" s="48">
        <f>10+91</f>
        <v>101</v>
      </c>
      <c r="G167" s="27"/>
      <c r="H167" s="27"/>
      <c r="I167" s="26"/>
      <c r="J167" s="53"/>
      <c r="K167" s="28"/>
      <c r="L167" s="188"/>
      <c r="M167" s="21">
        <v>0.21</v>
      </c>
      <c r="N167" s="29"/>
      <c r="O167" s="151"/>
      <c r="P167" s="39"/>
      <c r="Q167" s="30"/>
      <c r="R167" s="66">
        <v>2516506</v>
      </c>
    </row>
    <row r="168" spans="1:18" ht="32.4" customHeight="1" x14ac:dyDescent="0.3">
      <c r="A168" s="20">
        <v>159</v>
      </c>
      <c r="B168" s="46" t="s">
        <v>129</v>
      </c>
      <c r="C168" s="156" t="s">
        <v>435</v>
      </c>
      <c r="D168" s="20" t="s">
        <v>9</v>
      </c>
      <c r="E168" s="34" t="s">
        <v>608</v>
      </c>
      <c r="F168" s="48">
        <f>10+31</f>
        <v>41</v>
      </c>
      <c r="G168" s="27"/>
      <c r="H168" s="27"/>
      <c r="I168" s="26"/>
      <c r="J168" s="53"/>
      <c r="K168" s="28"/>
      <c r="L168" s="188"/>
      <c r="M168" s="21">
        <v>0.21</v>
      </c>
      <c r="N168" s="29"/>
      <c r="O168" s="151"/>
      <c r="P168" s="39"/>
      <c r="Q168" s="30"/>
      <c r="R168" s="66">
        <v>2794027</v>
      </c>
    </row>
    <row r="169" spans="1:18" ht="32.4" customHeight="1" x14ac:dyDescent="0.3">
      <c r="A169" s="20">
        <v>160</v>
      </c>
      <c r="B169" s="46" t="s">
        <v>158</v>
      </c>
      <c r="C169" s="156" t="s">
        <v>437</v>
      </c>
      <c r="D169" s="20" t="s">
        <v>9</v>
      </c>
      <c r="E169" s="34" t="s">
        <v>608</v>
      </c>
      <c r="F169" s="48">
        <f>40+149</f>
        <v>189</v>
      </c>
      <c r="G169" s="20"/>
      <c r="H169" s="20"/>
      <c r="I169" s="20"/>
      <c r="J169" s="51"/>
      <c r="K169" s="22"/>
      <c r="L169" s="188"/>
      <c r="M169" s="21">
        <v>0.21</v>
      </c>
      <c r="N169" s="20"/>
      <c r="O169" s="48"/>
      <c r="P169" s="40"/>
      <c r="Q169" s="20"/>
    </row>
    <row r="170" spans="1:18" ht="32.4" customHeight="1" x14ac:dyDescent="0.3">
      <c r="A170" s="20">
        <v>161</v>
      </c>
      <c r="B170" s="46" t="s">
        <v>159</v>
      </c>
      <c r="C170" s="156" t="s">
        <v>439</v>
      </c>
      <c r="D170" s="20" t="s">
        <v>9</v>
      </c>
      <c r="E170" s="34" t="s">
        <v>608</v>
      </c>
      <c r="F170" s="48">
        <f>50+2840</f>
        <v>2890</v>
      </c>
      <c r="G170" s="20"/>
      <c r="H170" s="20"/>
      <c r="I170" s="20"/>
      <c r="J170" s="53"/>
      <c r="K170" s="22"/>
      <c r="L170" s="188"/>
      <c r="M170" s="21">
        <v>0.21</v>
      </c>
      <c r="N170" s="20"/>
      <c r="O170" s="48"/>
      <c r="P170" s="61" t="s">
        <v>630</v>
      </c>
      <c r="Q170" s="20"/>
    </row>
    <row r="171" spans="1:18" ht="32.4" customHeight="1" x14ac:dyDescent="0.3">
      <c r="A171" s="20">
        <v>162</v>
      </c>
      <c r="B171" s="46" t="s">
        <v>160</v>
      </c>
      <c r="C171" s="156" t="s">
        <v>441</v>
      </c>
      <c r="D171" s="20" t="s">
        <v>9</v>
      </c>
      <c r="E171" s="34" t="s">
        <v>608</v>
      </c>
      <c r="F171" s="48">
        <f>50+473</f>
        <v>523</v>
      </c>
      <c r="G171" s="20"/>
      <c r="H171" s="20"/>
      <c r="I171" s="20"/>
      <c r="J171" s="51"/>
      <c r="K171" s="22"/>
      <c r="L171" s="188"/>
      <c r="M171" s="21">
        <v>0.21</v>
      </c>
      <c r="N171" s="20"/>
      <c r="O171" s="48"/>
      <c r="P171" s="61" t="s">
        <v>630</v>
      </c>
      <c r="Q171" s="20"/>
    </row>
    <row r="172" spans="1:18" ht="32.4" customHeight="1" x14ac:dyDescent="0.3">
      <c r="A172" s="20">
        <v>163</v>
      </c>
      <c r="B172" s="46" t="s">
        <v>161</v>
      </c>
      <c r="C172" s="156" t="s">
        <v>443</v>
      </c>
      <c r="D172" s="20" t="s">
        <v>9</v>
      </c>
      <c r="E172" s="34" t="s">
        <v>608</v>
      </c>
      <c r="F172" s="48">
        <f>30+0</f>
        <v>30</v>
      </c>
      <c r="G172" s="20"/>
      <c r="H172" s="20"/>
      <c r="I172" s="20"/>
      <c r="J172" s="53"/>
      <c r="K172" s="22"/>
      <c r="L172" s="188"/>
      <c r="M172" s="21">
        <v>0.21</v>
      </c>
      <c r="N172" s="20"/>
      <c r="O172" s="48"/>
      <c r="P172" s="61" t="s">
        <v>631</v>
      </c>
      <c r="Q172" s="20"/>
    </row>
    <row r="173" spans="1:18" ht="31.8" customHeight="1" x14ac:dyDescent="0.3">
      <c r="A173" s="20">
        <v>164</v>
      </c>
      <c r="B173" s="46" t="s">
        <v>162</v>
      </c>
      <c r="C173" s="156" t="s">
        <v>445</v>
      </c>
      <c r="D173" s="20" t="s">
        <v>9</v>
      </c>
      <c r="E173" s="34" t="s">
        <v>608</v>
      </c>
      <c r="F173" s="48">
        <f>100+432</f>
        <v>532</v>
      </c>
      <c r="G173" s="20"/>
      <c r="H173" s="20"/>
      <c r="I173" s="20"/>
      <c r="J173" s="51"/>
      <c r="K173" s="22"/>
      <c r="L173" s="188"/>
      <c r="M173" s="21">
        <v>0.21</v>
      </c>
      <c r="N173" s="20"/>
      <c r="O173" s="48"/>
      <c r="P173" s="61" t="s">
        <v>632</v>
      </c>
      <c r="Q173" s="20"/>
    </row>
    <row r="174" spans="1:18" ht="30" customHeight="1" x14ac:dyDescent="0.3">
      <c r="A174" s="20">
        <v>165</v>
      </c>
      <c r="B174" s="46" t="s">
        <v>163</v>
      </c>
      <c r="C174" s="156" t="s">
        <v>447</v>
      </c>
      <c r="D174" s="20" t="s">
        <v>9</v>
      </c>
      <c r="E174" s="34" t="s">
        <v>608</v>
      </c>
      <c r="F174" s="48">
        <f>100+561</f>
        <v>661</v>
      </c>
      <c r="G174" s="20"/>
      <c r="H174" s="20"/>
      <c r="I174" s="20"/>
      <c r="J174" s="53"/>
      <c r="K174" s="22"/>
      <c r="L174" s="188"/>
      <c r="M174" s="21">
        <v>0.21</v>
      </c>
      <c r="N174" s="20"/>
      <c r="O174" s="48"/>
      <c r="P174" s="61" t="s">
        <v>632</v>
      </c>
      <c r="Q174" s="20"/>
    </row>
    <row r="175" spans="1:18" ht="26.4" customHeight="1" x14ac:dyDescent="0.3">
      <c r="A175" s="20">
        <v>166</v>
      </c>
      <c r="B175" s="46" t="s">
        <v>164</v>
      </c>
      <c r="C175" s="156" t="s">
        <v>449</v>
      </c>
      <c r="D175" s="20" t="s">
        <v>9</v>
      </c>
      <c r="E175" s="34" t="s">
        <v>608</v>
      </c>
      <c r="F175" s="48">
        <f>50+0</f>
        <v>50</v>
      </c>
      <c r="G175" s="20"/>
      <c r="H175" s="20"/>
      <c r="I175" s="20"/>
      <c r="J175" s="51"/>
      <c r="K175" s="22"/>
      <c r="L175" s="188"/>
      <c r="M175" s="21">
        <v>0.21</v>
      </c>
      <c r="N175" s="20"/>
      <c r="O175" s="48"/>
      <c r="P175" s="40"/>
      <c r="Q175" s="20"/>
    </row>
    <row r="176" spans="1:18" ht="27" customHeight="1" x14ac:dyDescent="0.3">
      <c r="A176" s="20">
        <v>167</v>
      </c>
      <c r="B176" s="46" t="s">
        <v>165</v>
      </c>
      <c r="C176" s="156" t="s">
        <v>451</v>
      </c>
      <c r="D176" s="20" t="s">
        <v>9</v>
      </c>
      <c r="E176" s="34" t="s">
        <v>608</v>
      </c>
      <c r="F176" s="48">
        <f>50+0</f>
        <v>50</v>
      </c>
      <c r="G176" s="20"/>
      <c r="H176" s="20"/>
      <c r="I176" s="20"/>
      <c r="J176" s="53"/>
      <c r="K176" s="22"/>
      <c r="L176" s="188"/>
      <c r="M176" s="21">
        <v>0.21</v>
      </c>
      <c r="N176" s="20"/>
      <c r="O176" s="48"/>
      <c r="P176" s="40"/>
      <c r="Q176" s="20"/>
    </row>
    <row r="177" spans="1:18" ht="25.8" customHeight="1" x14ac:dyDescent="0.3">
      <c r="A177" s="20">
        <v>168</v>
      </c>
      <c r="B177" s="46" t="s">
        <v>166</v>
      </c>
      <c r="C177" s="156" t="s">
        <v>453</v>
      </c>
      <c r="D177" s="20" t="s">
        <v>9</v>
      </c>
      <c r="E177" s="34" t="s">
        <v>608</v>
      </c>
      <c r="F177" s="48">
        <f>10+0</f>
        <v>10</v>
      </c>
      <c r="G177" s="20"/>
      <c r="H177" s="20"/>
      <c r="I177" s="20"/>
      <c r="J177" s="51"/>
      <c r="K177" s="22"/>
      <c r="L177" s="188"/>
      <c r="M177" s="21">
        <v>0.21</v>
      </c>
      <c r="N177" s="20"/>
      <c r="O177" s="48"/>
      <c r="P177" s="40"/>
      <c r="Q177" s="20"/>
    </row>
    <row r="178" spans="1:18" ht="32.4" customHeight="1" x14ac:dyDescent="0.3">
      <c r="A178" s="20">
        <v>169</v>
      </c>
      <c r="B178" s="46" t="s">
        <v>167</v>
      </c>
      <c r="C178" s="156" t="s">
        <v>455</v>
      </c>
      <c r="D178" s="20" t="s">
        <v>9</v>
      </c>
      <c r="E178" s="34" t="s">
        <v>608</v>
      </c>
      <c r="F178" s="48">
        <f>20+48</f>
        <v>68</v>
      </c>
      <c r="G178" s="20"/>
      <c r="H178" s="20"/>
      <c r="I178" s="20"/>
      <c r="J178" s="53"/>
      <c r="K178" s="22"/>
      <c r="L178" s="188"/>
      <c r="M178" s="21">
        <v>0.21</v>
      </c>
      <c r="N178" s="20"/>
      <c r="O178" s="48"/>
      <c r="P178" s="40"/>
      <c r="Q178" s="20"/>
    </row>
    <row r="179" spans="1:18" ht="37.799999999999997" customHeight="1" x14ac:dyDescent="0.3">
      <c r="A179" s="20">
        <v>170</v>
      </c>
      <c r="B179" s="46" t="s">
        <v>168</v>
      </c>
      <c r="C179" s="156" t="s">
        <v>457</v>
      </c>
      <c r="D179" s="20" t="s">
        <v>9</v>
      </c>
      <c r="E179" s="34" t="s">
        <v>608</v>
      </c>
      <c r="F179" s="48">
        <f>20+61</f>
        <v>81</v>
      </c>
      <c r="G179" s="20"/>
      <c r="H179" s="20"/>
      <c r="I179" s="20"/>
      <c r="J179" s="51"/>
      <c r="K179" s="22"/>
      <c r="L179" s="188"/>
      <c r="M179" s="21">
        <v>0.21</v>
      </c>
      <c r="N179" s="20"/>
      <c r="O179" s="48"/>
      <c r="P179" s="40"/>
      <c r="Q179" s="20"/>
    </row>
    <row r="180" spans="1:18" ht="48" customHeight="1" x14ac:dyDescent="0.3">
      <c r="A180" s="20">
        <v>171</v>
      </c>
      <c r="B180" s="46" t="s">
        <v>171</v>
      </c>
      <c r="C180" s="156" t="s">
        <v>459</v>
      </c>
      <c r="D180" s="20" t="s">
        <v>9</v>
      </c>
      <c r="E180" s="34" t="s">
        <v>608</v>
      </c>
      <c r="F180" s="48">
        <f>60+2948</f>
        <v>3008</v>
      </c>
      <c r="G180" s="20"/>
      <c r="H180" s="20"/>
      <c r="I180" s="20"/>
      <c r="J180" s="51"/>
      <c r="K180" s="22"/>
      <c r="L180" s="188"/>
      <c r="M180" s="21">
        <v>0.21</v>
      </c>
      <c r="N180" s="20"/>
      <c r="O180" s="48"/>
      <c r="P180" s="61" t="s">
        <v>633</v>
      </c>
      <c r="Q180" s="20"/>
    </row>
    <row r="181" spans="1:18" ht="31.8" customHeight="1" x14ac:dyDescent="0.3">
      <c r="A181" s="20">
        <v>172</v>
      </c>
      <c r="B181" s="46" t="s">
        <v>172</v>
      </c>
      <c r="C181" s="156" t="s">
        <v>461</v>
      </c>
      <c r="D181" s="20" t="s">
        <v>9</v>
      </c>
      <c r="E181" s="34" t="s">
        <v>608</v>
      </c>
      <c r="F181" s="48">
        <f>40+720</f>
        <v>760</v>
      </c>
      <c r="G181" s="20"/>
      <c r="H181" s="20"/>
      <c r="I181" s="20"/>
      <c r="J181" s="51"/>
      <c r="K181" s="22"/>
      <c r="L181" s="188"/>
      <c r="M181" s="21">
        <v>0.21</v>
      </c>
      <c r="N181" s="20"/>
      <c r="O181" s="48"/>
      <c r="P181" s="40"/>
      <c r="Q181" s="20"/>
    </row>
    <row r="182" spans="1:18" ht="35.4" customHeight="1" x14ac:dyDescent="0.3">
      <c r="A182" s="20">
        <v>173</v>
      </c>
      <c r="B182" s="46" t="s">
        <v>173</v>
      </c>
      <c r="C182" s="156" t="s">
        <v>463</v>
      </c>
      <c r="D182" s="20" t="s">
        <v>9</v>
      </c>
      <c r="E182" s="34" t="s">
        <v>608</v>
      </c>
      <c r="F182" s="48">
        <f>40+0</f>
        <v>40</v>
      </c>
      <c r="G182" s="20"/>
      <c r="H182" s="20"/>
      <c r="I182" s="20"/>
      <c r="J182" s="53"/>
      <c r="K182" s="22"/>
      <c r="L182" s="188"/>
      <c r="M182" s="21">
        <v>0.21</v>
      </c>
      <c r="N182" s="20"/>
      <c r="O182" s="48"/>
      <c r="P182" s="40"/>
      <c r="Q182" s="20"/>
      <c r="R182" s="66">
        <v>327305</v>
      </c>
    </row>
    <row r="183" spans="1:18" ht="35.4" customHeight="1" x14ac:dyDescent="0.3">
      <c r="A183" s="20">
        <v>174</v>
      </c>
      <c r="B183" s="46" t="s">
        <v>174</v>
      </c>
      <c r="C183" s="156" t="s">
        <v>465</v>
      </c>
      <c r="D183" s="20" t="s">
        <v>9</v>
      </c>
      <c r="E183" s="34" t="s">
        <v>608</v>
      </c>
      <c r="F183" s="48">
        <f>75+468</f>
        <v>543</v>
      </c>
      <c r="G183" s="20"/>
      <c r="H183" s="20"/>
      <c r="I183" s="20"/>
      <c r="J183" s="53"/>
      <c r="K183" s="22"/>
      <c r="L183" s="188"/>
      <c r="M183" s="21">
        <v>0.21</v>
      </c>
      <c r="N183" s="20"/>
      <c r="O183" s="48"/>
      <c r="P183" s="40"/>
      <c r="Q183" s="20"/>
      <c r="R183" s="66">
        <v>327293</v>
      </c>
    </row>
    <row r="184" spans="1:18" ht="35.4" customHeight="1" x14ac:dyDescent="0.3">
      <c r="A184" s="20">
        <v>175</v>
      </c>
      <c r="B184" s="46" t="s">
        <v>175</v>
      </c>
      <c r="C184" s="156" t="s">
        <v>467</v>
      </c>
      <c r="D184" s="20" t="s">
        <v>9</v>
      </c>
      <c r="E184" s="34" t="s">
        <v>608</v>
      </c>
      <c r="F184" s="48">
        <f>15+425</f>
        <v>440</v>
      </c>
      <c r="G184" s="20"/>
      <c r="H184" s="20"/>
      <c r="I184" s="20"/>
      <c r="J184" s="53"/>
      <c r="K184" s="22"/>
      <c r="L184" s="188"/>
      <c r="M184" s="21">
        <v>0.21</v>
      </c>
      <c r="N184" s="20"/>
      <c r="O184" s="48"/>
      <c r="P184" s="40"/>
      <c r="Q184" s="20"/>
    </row>
    <row r="185" spans="1:18" ht="30" customHeight="1" x14ac:dyDescent="0.3">
      <c r="A185" s="20">
        <v>176</v>
      </c>
      <c r="B185" s="46" t="s">
        <v>176</v>
      </c>
      <c r="C185" s="156" t="s">
        <v>469</v>
      </c>
      <c r="D185" s="20" t="s">
        <v>9</v>
      </c>
      <c r="E185" s="34" t="s">
        <v>608</v>
      </c>
      <c r="F185" s="48">
        <f>10+0</f>
        <v>10</v>
      </c>
      <c r="G185" s="20"/>
      <c r="H185" s="20"/>
      <c r="I185" s="20"/>
      <c r="J185" s="51"/>
      <c r="K185" s="22"/>
      <c r="L185" s="188"/>
      <c r="M185" s="21">
        <v>0.21</v>
      </c>
      <c r="N185" s="20"/>
      <c r="O185" s="48"/>
      <c r="P185" s="40"/>
      <c r="Q185" s="20"/>
    </row>
    <row r="186" spans="1:18" ht="42.6" customHeight="1" x14ac:dyDescent="0.3">
      <c r="A186" s="20">
        <v>177</v>
      </c>
      <c r="B186" s="46" t="s">
        <v>177</v>
      </c>
      <c r="C186" s="156" t="s">
        <v>471</v>
      </c>
      <c r="D186" s="20" t="s">
        <v>9</v>
      </c>
      <c r="E186" s="34" t="s">
        <v>608</v>
      </c>
      <c r="F186" s="48">
        <f>20+663</f>
        <v>683</v>
      </c>
      <c r="G186" s="20"/>
      <c r="H186" s="20"/>
      <c r="I186" s="20"/>
      <c r="J186" s="53"/>
      <c r="K186" s="22"/>
      <c r="L186" s="188"/>
      <c r="M186" s="21">
        <v>0.21</v>
      </c>
      <c r="N186" s="20"/>
      <c r="O186" s="48"/>
      <c r="P186" s="40"/>
      <c r="Q186" s="20"/>
    </row>
    <row r="187" spans="1:18" ht="25.8" customHeight="1" x14ac:dyDescent="0.3">
      <c r="A187" s="20">
        <v>178</v>
      </c>
      <c r="B187" s="60" t="s">
        <v>178</v>
      </c>
      <c r="C187" s="156" t="s">
        <v>473</v>
      </c>
      <c r="D187" s="20" t="s">
        <v>9</v>
      </c>
      <c r="E187" s="34" t="s">
        <v>608</v>
      </c>
      <c r="F187" s="48">
        <f>20+0</f>
        <v>20</v>
      </c>
      <c r="G187" s="20"/>
      <c r="H187" s="20"/>
      <c r="I187" s="20"/>
      <c r="J187" s="53"/>
      <c r="K187" s="22"/>
      <c r="L187" s="188"/>
      <c r="M187" s="21">
        <v>0.21</v>
      </c>
      <c r="N187" s="20"/>
      <c r="O187" s="48"/>
      <c r="P187" s="40"/>
      <c r="Q187" s="20"/>
    </row>
    <row r="188" spans="1:18" ht="34.200000000000003" customHeight="1" x14ac:dyDescent="0.3">
      <c r="A188" s="20">
        <v>179</v>
      </c>
      <c r="B188" s="60" t="s">
        <v>179</v>
      </c>
      <c r="C188" s="156" t="s">
        <v>475</v>
      </c>
      <c r="D188" s="20" t="s">
        <v>9</v>
      </c>
      <c r="E188" s="34" t="s">
        <v>608</v>
      </c>
      <c r="F188" s="48">
        <f>10+84</f>
        <v>94</v>
      </c>
      <c r="G188" s="20"/>
      <c r="H188" s="20"/>
      <c r="I188" s="20"/>
      <c r="J188" s="51"/>
      <c r="K188" s="22"/>
      <c r="L188" s="188"/>
      <c r="M188" s="21">
        <v>0.21</v>
      </c>
      <c r="N188" s="20"/>
      <c r="O188" s="48"/>
      <c r="P188" s="40"/>
      <c r="Q188" s="20"/>
    </row>
    <row r="189" spans="1:18" ht="39" customHeight="1" x14ac:dyDescent="0.3">
      <c r="A189" s="20">
        <v>180</v>
      </c>
      <c r="B189" s="60" t="s">
        <v>180</v>
      </c>
      <c r="C189" s="156" t="s">
        <v>477</v>
      </c>
      <c r="D189" s="20" t="s">
        <v>9</v>
      </c>
      <c r="E189" s="34" t="s">
        <v>608</v>
      </c>
      <c r="F189" s="48">
        <f>20+137</f>
        <v>157</v>
      </c>
      <c r="G189" s="20"/>
      <c r="H189" s="20"/>
      <c r="I189" s="20"/>
      <c r="J189" s="53"/>
      <c r="K189" s="22"/>
      <c r="L189" s="188"/>
      <c r="M189" s="21">
        <v>0.21</v>
      </c>
      <c r="N189" s="20"/>
      <c r="O189" s="48"/>
      <c r="P189" s="40"/>
      <c r="Q189" s="20"/>
    </row>
    <row r="190" spans="1:18" ht="39" customHeight="1" x14ac:dyDescent="0.3">
      <c r="A190" s="20">
        <v>181</v>
      </c>
      <c r="B190" s="60" t="s">
        <v>181</v>
      </c>
      <c r="C190" s="156" t="s">
        <v>479</v>
      </c>
      <c r="D190" s="20" t="s">
        <v>9</v>
      </c>
      <c r="E190" s="34" t="s">
        <v>608</v>
      </c>
      <c r="F190" s="48">
        <f>30+116</f>
        <v>146</v>
      </c>
      <c r="G190" s="20"/>
      <c r="H190" s="20"/>
      <c r="I190" s="20"/>
      <c r="J190" s="51"/>
      <c r="K190" s="22"/>
      <c r="L190" s="188"/>
      <c r="M190" s="21">
        <v>0.21</v>
      </c>
      <c r="N190" s="20"/>
      <c r="O190" s="48"/>
      <c r="P190" s="40"/>
      <c r="Q190" s="20"/>
    </row>
    <row r="191" spans="1:18" ht="39" customHeight="1" x14ac:dyDescent="0.3">
      <c r="A191" s="20">
        <v>182</v>
      </c>
      <c r="B191" s="60" t="s">
        <v>182</v>
      </c>
      <c r="C191" s="156" t="s">
        <v>481</v>
      </c>
      <c r="D191" s="20" t="s">
        <v>9</v>
      </c>
      <c r="E191" s="34" t="s">
        <v>608</v>
      </c>
      <c r="F191" s="48">
        <f>20+265</f>
        <v>285</v>
      </c>
      <c r="G191" s="20"/>
      <c r="H191" s="20"/>
      <c r="I191" s="20"/>
      <c r="J191" s="53"/>
      <c r="K191" s="22"/>
      <c r="L191" s="188"/>
      <c r="M191" s="21">
        <v>0.21</v>
      </c>
      <c r="N191" s="20"/>
      <c r="O191" s="48"/>
      <c r="P191" s="40"/>
      <c r="Q191" s="20"/>
    </row>
    <row r="192" spans="1:18" ht="39" customHeight="1" x14ac:dyDescent="0.3">
      <c r="A192" s="20">
        <v>183</v>
      </c>
      <c r="B192" s="60" t="s">
        <v>183</v>
      </c>
      <c r="C192" s="156" t="s">
        <v>483</v>
      </c>
      <c r="D192" s="20" t="s">
        <v>9</v>
      </c>
      <c r="E192" s="34" t="s">
        <v>608</v>
      </c>
      <c r="F192" s="48">
        <f>100+2069</f>
        <v>2169</v>
      </c>
      <c r="G192" s="20"/>
      <c r="H192" s="20"/>
      <c r="I192" s="20"/>
      <c r="J192" s="53"/>
      <c r="K192" s="22"/>
      <c r="L192" s="188"/>
      <c r="M192" s="21">
        <v>0.21</v>
      </c>
      <c r="N192" s="20"/>
      <c r="O192" s="48"/>
      <c r="P192" s="40"/>
      <c r="Q192" s="20"/>
    </row>
    <row r="193" spans="1:18" s="25" customFormat="1" ht="31.8" customHeight="1" x14ac:dyDescent="0.3">
      <c r="A193" s="22">
        <v>184</v>
      </c>
      <c r="B193" s="60" t="s">
        <v>184</v>
      </c>
      <c r="C193" s="192" t="s">
        <v>485</v>
      </c>
      <c r="D193" s="22" t="s">
        <v>9</v>
      </c>
      <c r="E193" s="34" t="s">
        <v>608</v>
      </c>
      <c r="F193" s="152">
        <f>200+212</f>
        <v>412</v>
      </c>
      <c r="G193" s="154"/>
      <c r="H193" s="154"/>
      <c r="I193" s="154"/>
      <c r="J193" s="53"/>
      <c r="K193" s="22"/>
      <c r="L193" s="188"/>
      <c r="M193" s="24">
        <v>0.21</v>
      </c>
      <c r="N193" s="154"/>
      <c r="O193" s="152"/>
      <c r="P193" s="61" t="s">
        <v>617</v>
      </c>
      <c r="Q193" s="22"/>
      <c r="R193" s="191">
        <v>6463885</v>
      </c>
    </row>
    <row r="194" spans="1:18" ht="14.4" x14ac:dyDescent="0.3">
      <c r="A194" s="20">
        <v>185</v>
      </c>
      <c r="B194" s="60" t="s">
        <v>185</v>
      </c>
      <c r="C194" s="156" t="s">
        <v>487</v>
      </c>
      <c r="D194" s="20" t="s">
        <v>9</v>
      </c>
      <c r="E194" s="34" t="s">
        <v>608</v>
      </c>
      <c r="F194" s="152">
        <f>15+117</f>
        <v>132</v>
      </c>
      <c r="G194" s="20"/>
      <c r="H194" s="20"/>
      <c r="I194" s="20"/>
      <c r="J194" s="51"/>
      <c r="K194" s="22"/>
      <c r="L194" s="188"/>
      <c r="M194" s="21">
        <v>0.21</v>
      </c>
      <c r="N194" s="20"/>
      <c r="O194" s="48"/>
      <c r="P194" s="61" t="s">
        <v>617</v>
      </c>
      <c r="Q194" s="20"/>
      <c r="R194" s="66"/>
    </row>
    <row r="195" spans="1:18" ht="14.4" x14ac:dyDescent="0.3">
      <c r="A195" s="20">
        <v>186</v>
      </c>
      <c r="B195" s="60" t="s">
        <v>186</v>
      </c>
      <c r="C195" s="156" t="s">
        <v>489</v>
      </c>
      <c r="D195" s="20" t="s">
        <v>9</v>
      </c>
      <c r="E195" s="34" t="s">
        <v>608</v>
      </c>
      <c r="F195" s="48">
        <f>1000+2190</f>
        <v>3190</v>
      </c>
      <c r="G195" s="20"/>
      <c r="H195" s="20"/>
      <c r="I195" s="20"/>
      <c r="J195" s="53"/>
      <c r="K195" s="22"/>
      <c r="L195" s="188"/>
      <c r="M195" s="21">
        <v>0.21</v>
      </c>
      <c r="N195" s="20"/>
      <c r="O195" s="48"/>
      <c r="P195" s="40"/>
      <c r="Q195" s="20"/>
      <c r="R195" s="66"/>
    </row>
    <row r="196" spans="1:18" ht="14.4" x14ac:dyDescent="0.3">
      <c r="A196" s="20">
        <v>187</v>
      </c>
      <c r="B196" s="60" t="s">
        <v>187</v>
      </c>
      <c r="C196" s="156" t="s">
        <v>491</v>
      </c>
      <c r="D196" s="20" t="s">
        <v>9</v>
      </c>
      <c r="E196" s="34" t="s">
        <v>608</v>
      </c>
      <c r="F196" s="48">
        <f>1000+0</f>
        <v>1000</v>
      </c>
      <c r="G196" s="20"/>
      <c r="H196" s="20"/>
      <c r="I196" s="20"/>
      <c r="J196" s="51"/>
      <c r="K196" s="22"/>
      <c r="L196" s="188"/>
      <c r="M196" s="21">
        <v>0.21</v>
      </c>
      <c r="N196" s="20"/>
      <c r="O196" s="48"/>
      <c r="P196" s="40"/>
      <c r="Q196" s="20"/>
      <c r="R196" s="66"/>
    </row>
    <row r="197" spans="1:18" ht="14.4" x14ac:dyDescent="0.3">
      <c r="A197" s="20">
        <v>188</v>
      </c>
      <c r="B197" s="60" t="s">
        <v>188</v>
      </c>
      <c r="C197" s="156" t="s">
        <v>593</v>
      </c>
      <c r="D197" s="20" t="s">
        <v>9</v>
      </c>
      <c r="E197" s="34" t="s">
        <v>608</v>
      </c>
      <c r="F197" s="48">
        <f>20+140</f>
        <v>160</v>
      </c>
      <c r="G197" s="20"/>
      <c r="H197" s="20"/>
      <c r="I197" s="20"/>
      <c r="J197" s="51"/>
      <c r="K197" s="22"/>
      <c r="L197" s="188"/>
      <c r="M197" s="21">
        <v>0.21</v>
      </c>
      <c r="N197" s="20"/>
      <c r="O197" s="48"/>
      <c r="P197" s="40"/>
      <c r="Q197" s="20"/>
      <c r="R197" s="66">
        <v>3778006</v>
      </c>
    </row>
    <row r="198" spans="1:18" ht="14.4" x14ac:dyDescent="0.3">
      <c r="A198" s="20">
        <v>189</v>
      </c>
      <c r="B198" s="60" t="s">
        <v>189</v>
      </c>
      <c r="C198" s="156" t="s">
        <v>494</v>
      </c>
      <c r="D198" s="20" t="s">
        <v>9</v>
      </c>
      <c r="E198" s="34" t="s">
        <v>608</v>
      </c>
      <c r="F198" s="48">
        <f>20+84</f>
        <v>104</v>
      </c>
      <c r="G198" s="20"/>
      <c r="H198" s="20"/>
      <c r="I198" s="20"/>
      <c r="J198" s="53"/>
      <c r="K198" s="22"/>
      <c r="L198" s="188"/>
      <c r="M198" s="21">
        <v>0.21</v>
      </c>
      <c r="N198" s="20"/>
      <c r="O198" s="48"/>
      <c r="P198" s="40"/>
      <c r="Q198" s="20"/>
      <c r="R198" s="66">
        <v>7510043</v>
      </c>
    </row>
    <row r="199" spans="1:18" ht="40.200000000000003" customHeight="1" x14ac:dyDescent="0.3">
      <c r="A199" s="20">
        <v>190</v>
      </c>
      <c r="B199" s="60" t="s">
        <v>190</v>
      </c>
      <c r="C199" s="156" t="s">
        <v>734</v>
      </c>
      <c r="D199" s="20" t="s">
        <v>9</v>
      </c>
      <c r="E199" s="34" t="s">
        <v>608</v>
      </c>
      <c r="F199" s="48">
        <f>50+30</f>
        <v>80</v>
      </c>
      <c r="G199" s="20"/>
      <c r="H199" s="20"/>
      <c r="I199" s="20"/>
      <c r="J199" s="51"/>
      <c r="K199" s="22"/>
      <c r="L199" s="188"/>
      <c r="M199" s="21">
        <v>0.21</v>
      </c>
      <c r="N199" s="20"/>
      <c r="O199" s="48"/>
      <c r="P199" s="40"/>
      <c r="Q199" s="20"/>
      <c r="R199" s="66"/>
    </row>
    <row r="200" spans="1:18" ht="34.200000000000003" customHeight="1" x14ac:dyDescent="0.3">
      <c r="A200" s="20">
        <v>191</v>
      </c>
      <c r="B200" s="46" t="s">
        <v>191</v>
      </c>
      <c r="C200" s="156" t="s">
        <v>594</v>
      </c>
      <c r="D200" s="20" t="s">
        <v>9</v>
      </c>
      <c r="E200" s="34" t="s">
        <v>608</v>
      </c>
      <c r="F200" s="48">
        <f>100+0</f>
        <v>100</v>
      </c>
      <c r="G200" s="20"/>
      <c r="H200" s="20"/>
      <c r="I200" s="20"/>
      <c r="J200" s="51"/>
      <c r="K200" s="22"/>
      <c r="L200" s="188"/>
      <c r="M200" s="21">
        <v>0.21</v>
      </c>
      <c r="N200" s="20"/>
      <c r="O200" s="48"/>
      <c r="P200" s="40"/>
      <c r="Q200" s="20"/>
      <c r="R200" s="66"/>
    </row>
    <row r="201" spans="1:18" ht="17.399999999999999" customHeight="1" x14ac:dyDescent="0.3">
      <c r="A201" s="20">
        <v>192</v>
      </c>
      <c r="B201" s="60" t="s">
        <v>193</v>
      </c>
      <c r="C201" s="156" t="s">
        <v>496</v>
      </c>
      <c r="D201" s="20" t="s">
        <v>9</v>
      </c>
      <c r="E201" s="34" t="s">
        <v>608</v>
      </c>
      <c r="F201" s="48">
        <f>40+76</f>
        <v>116</v>
      </c>
      <c r="G201" s="20"/>
      <c r="H201" s="20"/>
      <c r="I201" s="20"/>
      <c r="J201" s="53"/>
      <c r="K201" s="22"/>
      <c r="L201" s="188"/>
      <c r="M201" s="21">
        <v>0.21</v>
      </c>
      <c r="N201" s="20"/>
      <c r="O201" s="48"/>
      <c r="P201" s="41"/>
      <c r="Q201" s="20"/>
      <c r="R201" s="66">
        <v>2794049</v>
      </c>
    </row>
    <row r="202" spans="1:18" ht="42.6" customHeight="1" x14ac:dyDescent="0.3">
      <c r="A202" s="20">
        <v>193</v>
      </c>
      <c r="B202" s="46" t="s">
        <v>194</v>
      </c>
      <c r="C202" s="156" t="s">
        <v>498</v>
      </c>
      <c r="D202" s="20" t="s">
        <v>9</v>
      </c>
      <c r="E202" s="34" t="s">
        <v>608</v>
      </c>
      <c r="F202" s="48">
        <f>200+58</f>
        <v>258</v>
      </c>
      <c r="G202" s="20"/>
      <c r="H202" s="20"/>
      <c r="I202" s="20"/>
      <c r="J202" s="51"/>
      <c r="K202" s="22"/>
      <c r="L202" s="188"/>
      <c r="M202" s="21">
        <v>0.21</v>
      </c>
      <c r="N202" s="20"/>
      <c r="O202" s="48"/>
      <c r="P202" s="61" t="s">
        <v>634</v>
      </c>
      <c r="Q202" s="20"/>
      <c r="R202" s="66">
        <v>4810608</v>
      </c>
    </row>
    <row r="203" spans="1:18" ht="27" customHeight="1" x14ac:dyDescent="0.3">
      <c r="A203" s="20">
        <v>194</v>
      </c>
      <c r="B203" s="46" t="s">
        <v>195</v>
      </c>
      <c r="C203" s="156" t="s">
        <v>500</v>
      </c>
      <c r="D203" s="20" t="s">
        <v>9</v>
      </c>
      <c r="E203" s="34" t="s">
        <v>608</v>
      </c>
      <c r="F203" s="48">
        <f>10+21</f>
        <v>31</v>
      </c>
      <c r="G203" s="20"/>
      <c r="H203" s="20"/>
      <c r="I203" s="20"/>
      <c r="J203" s="53"/>
      <c r="K203" s="22"/>
      <c r="L203" s="188"/>
      <c r="M203" s="21">
        <v>0.21</v>
      </c>
      <c r="N203" s="20"/>
      <c r="O203" s="48"/>
      <c r="P203" s="41"/>
      <c r="Q203" s="20"/>
      <c r="R203" s="66">
        <v>7510076</v>
      </c>
    </row>
    <row r="204" spans="1:18" ht="30" customHeight="1" x14ac:dyDescent="0.3">
      <c r="A204" s="20">
        <v>195</v>
      </c>
      <c r="B204" s="46" t="s">
        <v>196</v>
      </c>
      <c r="C204" s="156" t="s">
        <v>502</v>
      </c>
      <c r="D204" s="20" t="s">
        <v>9</v>
      </c>
      <c r="E204" s="34" t="s">
        <v>608</v>
      </c>
      <c r="F204" s="48">
        <f>10+261</f>
        <v>271</v>
      </c>
      <c r="G204" s="20"/>
      <c r="H204" s="20"/>
      <c r="I204" s="20"/>
      <c r="J204" s="53"/>
      <c r="K204" s="22"/>
      <c r="L204" s="188"/>
      <c r="M204" s="21">
        <v>0.21</v>
      </c>
      <c r="N204" s="20"/>
      <c r="O204" s="48"/>
      <c r="P204" s="41"/>
      <c r="Q204" s="20"/>
      <c r="R204" s="66">
        <v>185235</v>
      </c>
    </row>
    <row r="205" spans="1:18" ht="33" customHeight="1" x14ac:dyDescent="0.3">
      <c r="A205" s="20">
        <v>196</v>
      </c>
      <c r="B205" s="46" t="s">
        <v>197</v>
      </c>
      <c r="C205" s="156" t="s">
        <v>504</v>
      </c>
      <c r="D205" s="20" t="s">
        <v>9</v>
      </c>
      <c r="E205" s="34" t="s">
        <v>608</v>
      </c>
      <c r="F205" s="48">
        <f>10+138</f>
        <v>148</v>
      </c>
      <c r="G205" s="20"/>
      <c r="H205" s="20"/>
      <c r="I205" s="20"/>
      <c r="J205" s="51"/>
      <c r="K205" s="22"/>
      <c r="L205" s="188"/>
      <c r="M205" s="21">
        <v>0.21</v>
      </c>
      <c r="N205" s="20"/>
      <c r="O205" s="48"/>
      <c r="P205" s="41"/>
      <c r="Q205" s="20"/>
      <c r="R205" s="66">
        <v>151466</v>
      </c>
    </row>
    <row r="206" spans="1:18" ht="39" customHeight="1" x14ac:dyDescent="0.3">
      <c r="A206" s="20">
        <v>197</v>
      </c>
      <c r="B206" s="46" t="s">
        <v>198</v>
      </c>
      <c r="C206" s="156" t="s">
        <v>506</v>
      </c>
      <c r="D206" s="20" t="s">
        <v>9</v>
      </c>
      <c r="E206" s="34" t="s">
        <v>608</v>
      </c>
      <c r="F206" s="48">
        <f>30+606</f>
        <v>636</v>
      </c>
      <c r="G206" s="20"/>
      <c r="H206" s="20"/>
      <c r="I206" s="20"/>
      <c r="J206" s="53"/>
      <c r="K206" s="22"/>
      <c r="L206" s="188"/>
      <c r="M206" s="21">
        <v>0.21</v>
      </c>
      <c r="N206" s="20"/>
      <c r="O206" s="48"/>
      <c r="P206" s="41"/>
      <c r="Q206" s="20"/>
      <c r="R206" s="66">
        <v>151444</v>
      </c>
    </row>
    <row r="207" spans="1:18" ht="31.8" customHeight="1" x14ac:dyDescent="0.3">
      <c r="A207" s="20">
        <v>198</v>
      </c>
      <c r="B207" s="46" t="s">
        <v>199</v>
      </c>
      <c r="C207" s="156" t="s">
        <v>508</v>
      </c>
      <c r="D207" s="20" t="s">
        <v>9</v>
      </c>
      <c r="E207" s="34" t="s">
        <v>608</v>
      </c>
      <c r="F207" s="48">
        <f>40+145</f>
        <v>185</v>
      </c>
      <c r="G207" s="20"/>
      <c r="H207" s="20"/>
      <c r="I207" s="20"/>
      <c r="J207" s="51"/>
      <c r="K207" s="22"/>
      <c r="L207" s="188"/>
      <c r="M207" s="21">
        <v>0.21</v>
      </c>
      <c r="N207" s="20"/>
      <c r="O207" s="48"/>
      <c r="P207" s="41"/>
      <c r="Q207" s="20"/>
      <c r="R207" s="66">
        <v>179278</v>
      </c>
    </row>
    <row r="208" spans="1:18" ht="14.4" x14ac:dyDescent="0.3">
      <c r="A208" s="20">
        <v>199</v>
      </c>
      <c r="B208" s="46" t="s">
        <v>200</v>
      </c>
      <c r="C208" s="156" t="s">
        <v>510</v>
      </c>
      <c r="D208" s="20" t="s">
        <v>9</v>
      </c>
      <c r="E208" s="34" t="s">
        <v>608</v>
      </c>
      <c r="F208" s="48">
        <f>2+2</f>
        <v>4</v>
      </c>
      <c r="G208" s="20"/>
      <c r="H208" s="20"/>
      <c r="I208" s="20"/>
      <c r="J208" s="53"/>
      <c r="K208" s="22"/>
      <c r="L208" s="188"/>
      <c r="M208" s="21">
        <v>0.21</v>
      </c>
      <c r="N208" s="20"/>
      <c r="O208" s="48"/>
      <c r="P208" s="41"/>
      <c r="Q208" s="20"/>
      <c r="R208" s="66">
        <v>6475259</v>
      </c>
    </row>
    <row r="209" spans="1:18" ht="38.4" customHeight="1" x14ac:dyDescent="0.3">
      <c r="A209" s="20">
        <v>200</v>
      </c>
      <c r="B209" s="46" t="s">
        <v>201</v>
      </c>
      <c r="C209" s="156" t="s">
        <v>595</v>
      </c>
      <c r="D209" s="20" t="s">
        <v>9</v>
      </c>
      <c r="E209" s="34" t="s">
        <v>608</v>
      </c>
      <c r="F209" s="48">
        <f>50+337</f>
        <v>387</v>
      </c>
      <c r="G209" s="20"/>
      <c r="H209" s="20"/>
      <c r="I209" s="20"/>
      <c r="J209" s="53"/>
      <c r="K209" s="22"/>
      <c r="L209" s="188"/>
      <c r="M209" s="21">
        <v>0.21</v>
      </c>
      <c r="N209" s="20"/>
      <c r="O209" s="48"/>
      <c r="P209" s="41"/>
      <c r="Q209" s="63"/>
      <c r="R209" s="66">
        <v>2182455</v>
      </c>
    </row>
    <row r="210" spans="1:18" ht="22.8" customHeight="1" x14ac:dyDescent="0.3">
      <c r="A210" s="20">
        <v>201</v>
      </c>
      <c r="B210" s="46" t="s">
        <v>202</v>
      </c>
      <c r="C210" s="156" t="s">
        <v>596</v>
      </c>
      <c r="D210" s="20" t="s">
        <v>9</v>
      </c>
      <c r="E210" s="34" t="s">
        <v>608</v>
      </c>
      <c r="F210" s="48">
        <f>20+0</f>
        <v>20</v>
      </c>
      <c r="G210" s="20"/>
      <c r="H210" s="20"/>
      <c r="I210" s="20"/>
      <c r="J210" s="51"/>
      <c r="K210" s="22"/>
      <c r="L210" s="188"/>
      <c r="M210" s="21">
        <v>0.21</v>
      </c>
      <c r="N210" s="20"/>
      <c r="O210" s="48"/>
      <c r="P210" s="41"/>
      <c r="Q210" s="63"/>
      <c r="R210" s="66">
        <v>8095476</v>
      </c>
    </row>
    <row r="211" spans="1:18" ht="29.4" customHeight="1" x14ac:dyDescent="0.3">
      <c r="A211" s="20">
        <v>202</v>
      </c>
      <c r="B211" s="46" t="s">
        <v>205</v>
      </c>
      <c r="C211" s="156" t="s">
        <v>514</v>
      </c>
      <c r="D211" s="20" t="s">
        <v>9</v>
      </c>
      <c r="E211" s="34" t="s">
        <v>608</v>
      </c>
      <c r="F211" s="48">
        <f>10+0</f>
        <v>10</v>
      </c>
      <c r="G211" s="20"/>
      <c r="H211" s="20"/>
      <c r="I211" s="20"/>
      <c r="J211" s="53"/>
      <c r="K211" s="22"/>
      <c r="L211" s="188"/>
      <c r="M211" s="21">
        <v>0.21</v>
      </c>
      <c r="N211" s="20"/>
      <c r="O211" s="48"/>
      <c r="P211" s="41"/>
      <c r="Q211" s="63"/>
      <c r="R211" s="66">
        <v>8151722</v>
      </c>
    </row>
    <row r="212" spans="1:18" ht="29.4" customHeight="1" x14ac:dyDescent="0.3">
      <c r="A212" s="20">
        <v>203</v>
      </c>
      <c r="B212" s="46" t="s">
        <v>217</v>
      </c>
      <c r="C212" s="156" t="s">
        <v>515</v>
      </c>
      <c r="D212" s="20" t="s">
        <v>9</v>
      </c>
      <c r="E212" s="34" t="s">
        <v>608</v>
      </c>
      <c r="F212" s="48">
        <f>20+16</f>
        <v>36</v>
      </c>
      <c r="G212" s="20"/>
      <c r="H212" s="20"/>
      <c r="I212" s="20"/>
      <c r="J212" s="51"/>
      <c r="K212" s="22"/>
      <c r="L212" s="188"/>
      <c r="M212" s="21">
        <v>0.21</v>
      </c>
      <c r="N212" s="20"/>
      <c r="O212" s="48"/>
      <c r="P212" s="61" t="s">
        <v>618</v>
      </c>
      <c r="Q212" s="20"/>
    </row>
    <row r="213" spans="1:18" ht="29.4" customHeight="1" x14ac:dyDescent="0.3">
      <c r="A213" s="20">
        <v>204</v>
      </c>
      <c r="B213" s="46">
        <v>175</v>
      </c>
      <c r="C213" s="156" t="s">
        <v>517</v>
      </c>
      <c r="D213" s="20" t="s">
        <v>9</v>
      </c>
      <c r="E213" s="34" t="s">
        <v>608</v>
      </c>
      <c r="F213" s="48">
        <f>100+466</f>
        <v>566</v>
      </c>
      <c r="G213" s="20"/>
      <c r="H213" s="20"/>
      <c r="I213" s="20"/>
      <c r="J213" s="51"/>
      <c r="K213" s="22"/>
      <c r="L213" s="188"/>
      <c r="M213" s="21">
        <v>0.21</v>
      </c>
      <c r="N213" s="20"/>
      <c r="O213" s="48"/>
      <c r="P213" s="61" t="s">
        <v>618</v>
      </c>
      <c r="Q213" s="20"/>
    </row>
    <row r="214" spans="1:18" ht="29.4" customHeight="1" x14ac:dyDescent="0.3">
      <c r="A214" s="20">
        <v>205</v>
      </c>
      <c r="B214" s="46">
        <v>2692</v>
      </c>
      <c r="C214" s="156" t="s">
        <v>519</v>
      </c>
      <c r="D214" s="20" t="s">
        <v>9</v>
      </c>
      <c r="E214" s="34" t="s">
        <v>608</v>
      </c>
      <c r="F214" s="48">
        <f>10+300</f>
        <v>310</v>
      </c>
      <c r="G214" s="20"/>
      <c r="H214" s="20"/>
      <c r="I214" s="20"/>
      <c r="J214" s="51"/>
      <c r="K214" s="22"/>
      <c r="L214" s="188"/>
      <c r="M214" s="21">
        <v>0.21</v>
      </c>
      <c r="N214" s="20"/>
      <c r="O214" s="48"/>
      <c r="P214" s="61" t="s">
        <v>618</v>
      </c>
      <c r="Q214" s="20"/>
    </row>
    <row r="215" spans="1:18" ht="29.4" customHeight="1" x14ac:dyDescent="0.3">
      <c r="A215" s="20">
        <v>206</v>
      </c>
      <c r="B215" s="46">
        <v>2694</v>
      </c>
      <c r="C215" s="156" t="s">
        <v>597</v>
      </c>
      <c r="D215" s="20" t="s">
        <v>9</v>
      </c>
      <c r="E215" s="34" t="s">
        <v>608</v>
      </c>
      <c r="F215" s="48">
        <f>50+6476</f>
        <v>6526</v>
      </c>
      <c r="G215" s="20"/>
      <c r="H215" s="20"/>
      <c r="I215" s="20"/>
      <c r="J215" s="51"/>
      <c r="K215" s="22"/>
      <c r="L215" s="188"/>
      <c r="M215" s="21">
        <v>0.21</v>
      </c>
      <c r="N215" s="20"/>
      <c r="O215" s="48"/>
      <c r="P215" s="61" t="s">
        <v>618</v>
      </c>
      <c r="Q215" s="20"/>
      <c r="R215" s="66">
        <v>6469442</v>
      </c>
    </row>
    <row r="216" spans="1:18" ht="29.4" customHeight="1" x14ac:dyDescent="0.3">
      <c r="A216" s="20">
        <v>207</v>
      </c>
      <c r="B216" s="46" t="s">
        <v>24</v>
      </c>
      <c r="C216" s="156" t="s">
        <v>597</v>
      </c>
      <c r="D216" s="20" t="s">
        <v>9</v>
      </c>
      <c r="E216" s="34" t="s">
        <v>608</v>
      </c>
      <c r="F216" s="48">
        <f>40+1038</f>
        <v>1078</v>
      </c>
      <c r="G216" s="20"/>
      <c r="H216" s="20"/>
      <c r="I216" s="20"/>
      <c r="J216" s="51"/>
      <c r="K216" s="22"/>
      <c r="L216" s="188"/>
      <c r="M216" s="21">
        <v>0.21</v>
      </c>
      <c r="N216" s="20"/>
      <c r="O216" s="48"/>
      <c r="P216" s="61" t="s">
        <v>618</v>
      </c>
      <c r="Q216" s="20"/>
      <c r="R216" s="66">
        <v>6469431</v>
      </c>
    </row>
    <row r="217" spans="1:18" ht="29.4" customHeight="1" x14ac:dyDescent="0.3">
      <c r="A217" s="20">
        <v>208</v>
      </c>
      <c r="B217" s="46" t="s">
        <v>216</v>
      </c>
      <c r="C217" s="156" t="s">
        <v>523</v>
      </c>
      <c r="D217" s="20" t="s">
        <v>9</v>
      </c>
      <c r="E217" s="34" t="s">
        <v>608</v>
      </c>
      <c r="F217" s="48">
        <f>40+26</f>
        <v>66</v>
      </c>
      <c r="G217" s="20"/>
      <c r="H217" s="20"/>
      <c r="I217" s="20"/>
      <c r="J217" s="51"/>
      <c r="K217" s="22"/>
      <c r="L217" s="188"/>
      <c r="M217" s="21">
        <v>0.21</v>
      </c>
      <c r="N217" s="20"/>
      <c r="O217" s="48"/>
      <c r="P217" s="61" t="s">
        <v>618</v>
      </c>
      <c r="Q217" s="20"/>
    </row>
    <row r="218" spans="1:18" ht="14.4" x14ac:dyDescent="0.3">
      <c r="A218" s="20">
        <v>209</v>
      </c>
      <c r="B218" s="46" t="s">
        <v>211</v>
      </c>
      <c r="C218" s="156" t="s">
        <v>525</v>
      </c>
      <c r="D218" s="20" t="s">
        <v>9</v>
      </c>
      <c r="E218" s="34" t="s">
        <v>608</v>
      </c>
      <c r="F218" s="48">
        <f>10+42</f>
        <v>52</v>
      </c>
      <c r="G218" s="20"/>
      <c r="H218" s="20"/>
      <c r="I218" s="20"/>
      <c r="J218" s="51"/>
      <c r="K218" s="22"/>
      <c r="L218" s="188"/>
      <c r="M218" s="21">
        <v>0.21</v>
      </c>
      <c r="N218" s="20"/>
      <c r="O218" s="48"/>
      <c r="P218" s="61" t="s">
        <v>618</v>
      </c>
      <c r="Q218" s="20"/>
      <c r="R218" s="66">
        <v>105024</v>
      </c>
    </row>
    <row r="219" spans="1:18" ht="14.4" x14ac:dyDescent="0.3">
      <c r="A219" s="20">
        <v>210</v>
      </c>
      <c r="B219" s="46" t="s">
        <v>212</v>
      </c>
      <c r="C219" s="156" t="s">
        <v>527</v>
      </c>
      <c r="D219" s="20" t="s">
        <v>9</v>
      </c>
      <c r="E219" s="34" t="s">
        <v>608</v>
      </c>
      <c r="F219" s="48">
        <f>10+51</f>
        <v>61</v>
      </c>
      <c r="G219" s="20"/>
      <c r="H219" s="20"/>
      <c r="I219" s="20"/>
      <c r="J219" s="51"/>
      <c r="K219" s="22"/>
      <c r="L219" s="188"/>
      <c r="M219" s="21">
        <v>0.21</v>
      </c>
      <c r="N219" s="20"/>
      <c r="O219" s="48"/>
      <c r="P219" s="61" t="s">
        <v>618</v>
      </c>
      <c r="Q219" s="20"/>
      <c r="R219" s="66">
        <v>105068</v>
      </c>
    </row>
    <row r="220" spans="1:18" ht="14.4" x14ac:dyDescent="0.3">
      <c r="A220" s="20">
        <v>211</v>
      </c>
      <c r="B220" s="46" t="s">
        <v>210</v>
      </c>
      <c r="C220" s="156" t="s">
        <v>529</v>
      </c>
      <c r="D220" s="20" t="s">
        <v>9</v>
      </c>
      <c r="E220" s="34" t="s">
        <v>608</v>
      </c>
      <c r="F220" s="48">
        <f>10+0</f>
        <v>10</v>
      </c>
      <c r="G220" s="20"/>
      <c r="H220" s="20"/>
      <c r="I220" s="20"/>
      <c r="J220" s="51"/>
      <c r="K220" s="22"/>
      <c r="L220" s="188"/>
      <c r="M220" s="21">
        <v>0.21</v>
      </c>
      <c r="N220" s="20"/>
      <c r="O220" s="48"/>
      <c r="P220" s="61" t="s">
        <v>635</v>
      </c>
      <c r="Q220" s="63"/>
      <c r="R220" s="66">
        <v>105148</v>
      </c>
    </row>
    <row r="221" spans="1:18" ht="34.200000000000003" customHeight="1" x14ac:dyDescent="0.3">
      <c r="A221" s="20">
        <v>212</v>
      </c>
      <c r="B221" s="46" t="s">
        <v>206</v>
      </c>
      <c r="C221" s="156" t="s">
        <v>598</v>
      </c>
      <c r="D221" s="20" t="s">
        <v>9</v>
      </c>
      <c r="E221" s="34" t="s">
        <v>608</v>
      </c>
      <c r="F221" s="48">
        <f>20+33</f>
        <v>53</v>
      </c>
      <c r="G221" s="20"/>
      <c r="H221" s="20"/>
      <c r="I221" s="20"/>
      <c r="J221" s="51"/>
      <c r="K221" s="22"/>
      <c r="L221" s="188"/>
      <c r="M221" s="21">
        <v>0.21</v>
      </c>
      <c r="N221" s="20"/>
      <c r="O221" s="48"/>
      <c r="P221" s="61" t="s">
        <v>618</v>
      </c>
      <c r="Q221" s="20"/>
      <c r="R221" s="20">
        <v>1139869</v>
      </c>
    </row>
    <row r="222" spans="1:18" ht="34.200000000000003" customHeight="1" x14ac:dyDescent="0.3">
      <c r="A222" s="20">
        <v>213</v>
      </c>
      <c r="B222" s="46" t="s">
        <v>207</v>
      </c>
      <c r="C222" s="156" t="s">
        <v>599</v>
      </c>
      <c r="D222" s="20" t="s">
        <v>9</v>
      </c>
      <c r="E222" s="34" t="s">
        <v>608</v>
      </c>
      <c r="F222" s="48">
        <f>50+392</f>
        <v>442</v>
      </c>
      <c r="G222" s="20"/>
      <c r="H222" s="20"/>
      <c r="I222" s="20"/>
      <c r="J222" s="51"/>
      <c r="K222" s="22"/>
      <c r="L222" s="188"/>
      <c r="M222" s="21">
        <v>0.21</v>
      </c>
      <c r="N222" s="20"/>
      <c r="O222" s="48"/>
      <c r="P222" s="61" t="s">
        <v>618</v>
      </c>
      <c r="Q222" s="20"/>
      <c r="R222" s="20">
        <v>993157</v>
      </c>
    </row>
    <row r="223" spans="1:18" ht="34.200000000000003" customHeight="1" x14ac:dyDescent="0.3">
      <c r="A223" s="20">
        <v>214</v>
      </c>
      <c r="B223" s="46" t="s">
        <v>208</v>
      </c>
      <c r="C223" s="156" t="s">
        <v>600</v>
      </c>
      <c r="D223" s="20" t="s">
        <v>9</v>
      </c>
      <c r="E223" s="34" t="s">
        <v>608</v>
      </c>
      <c r="F223" s="48">
        <f>120+1243</f>
        <v>1363</v>
      </c>
      <c r="G223" s="20"/>
      <c r="H223" s="20"/>
      <c r="I223" s="20"/>
      <c r="J223" s="51"/>
      <c r="K223" s="22"/>
      <c r="L223" s="188"/>
      <c r="M223" s="21">
        <v>0.21</v>
      </c>
      <c r="N223" s="20"/>
      <c r="O223" s="48"/>
      <c r="P223" s="61" t="s">
        <v>618</v>
      </c>
      <c r="Q223" s="20"/>
      <c r="R223" s="20">
        <v>1139858</v>
      </c>
    </row>
    <row r="224" spans="1:18" ht="34.200000000000003" customHeight="1" x14ac:dyDescent="0.3">
      <c r="A224" s="20">
        <v>215</v>
      </c>
      <c r="B224" s="46" t="s">
        <v>209</v>
      </c>
      <c r="C224" s="156" t="s">
        <v>601</v>
      </c>
      <c r="D224" s="20" t="s">
        <v>9</v>
      </c>
      <c r="E224" s="34" t="s">
        <v>608</v>
      </c>
      <c r="F224" s="48">
        <f>40+22</f>
        <v>62</v>
      </c>
      <c r="G224" s="20"/>
      <c r="H224" s="20"/>
      <c r="I224" s="20"/>
      <c r="J224" s="51"/>
      <c r="K224" s="22"/>
      <c r="L224" s="188"/>
      <c r="M224" s="21">
        <v>0.21</v>
      </c>
      <c r="N224" s="20"/>
      <c r="O224" s="48"/>
      <c r="P224" s="61" t="s">
        <v>618</v>
      </c>
      <c r="Q224" s="20"/>
      <c r="R224" s="20">
        <v>5037853</v>
      </c>
    </row>
    <row r="225" spans="1:18" ht="34.200000000000003" customHeight="1" x14ac:dyDescent="0.3">
      <c r="A225" s="20">
        <v>216</v>
      </c>
      <c r="B225" s="46" t="s">
        <v>214</v>
      </c>
      <c r="C225" s="156" t="s">
        <v>602</v>
      </c>
      <c r="D225" s="20" t="s">
        <v>9</v>
      </c>
      <c r="E225" s="34" t="s">
        <v>608</v>
      </c>
      <c r="F225" s="48">
        <f>100+138</f>
        <v>238</v>
      </c>
      <c r="G225" s="20"/>
      <c r="H225" s="20"/>
      <c r="I225" s="20"/>
      <c r="J225" s="51"/>
      <c r="K225" s="22"/>
      <c r="L225" s="188"/>
      <c r="M225" s="21">
        <v>0.21</v>
      </c>
      <c r="N225" s="20"/>
      <c r="O225" s="48"/>
      <c r="P225" s="61" t="s">
        <v>636</v>
      </c>
      <c r="Q225" s="20"/>
      <c r="R225" s="20"/>
    </row>
    <row r="226" spans="1:18" ht="34.200000000000003" customHeight="1" x14ac:dyDescent="0.3">
      <c r="A226" s="20">
        <v>217</v>
      </c>
      <c r="B226" s="46" t="s">
        <v>215</v>
      </c>
      <c r="C226" s="156" t="s">
        <v>603</v>
      </c>
      <c r="D226" s="20" t="s">
        <v>9</v>
      </c>
      <c r="E226" s="34" t="s">
        <v>608</v>
      </c>
      <c r="F226" s="48">
        <f>20+534</f>
        <v>554</v>
      </c>
      <c r="G226" s="20"/>
      <c r="H226" s="20"/>
      <c r="I226" s="20"/>
      <c r="J226" s="51"/>
      <c r="K226" s="22"/>
      <c r="L226" s="188"/>
      <c r="M226" s="21">
        <v>0.21</v>
      </c>
      <c r="N226" s="20"/>
      <c r="O226" s="48"/>
      <c r="P226" s="61" t="s">
        <v>618</v>
      </c>
      <c r="Q226" s="20"/>
      <c r="R226" s="20">
        <v>143333</v>
      </c>
    </row>
    <row r="227" spans="1:18" ht="34.200000000000003" customHeight="1" x14ac:dyDescent="0.3">
      <c r="A227" s="20">
        <v>218</v>
      </c>
      <c r="B227" s="46" t="s">
        <v>213</v>
      </c>
      <c r="C227" s="156" t="s">
        <v>604</v>
      </c>
      <c r="D227" s="20" t="s">
        <v>9</v>
      </c>
      <c r="E227" s="34" t="s">
        <v>608</v>
      </c>
      <c r="F227" s="48">
        <f>40+296</f>
        <v>336</v>
      </c>
      <c r="G227" s="20"/>
      <c r="H227" s="20"/>
      <c r="I227" s="20"/>
      <c r="J227" s="51"/>
      <c r="K227" s="22"/>
      <c r="L227" s="188"/>
      <c r="M227" s="21">
        <v>0.21</v>
      </c>
      <c r="N227" s="20"/>
      <c r="O227" s="48"/>
      <c r="P227" s="61" t="s">
        <v>618</v>
      </c>
      <c r="Q227" s="20"/>
      <c r="R227" s="20">
        <v>1007259</v>
      </c>
    </row>
    <row r="228" spans="1:18" ht="34.200000000000003" customHeight="1" x14ac:dyDescent="0.3">
      <c r="A228" s="20">
        <v>219</v>
      </c>
      <c r="B228" s="46" t="s">
        <v>219</v>
      </c>
      <c r="C228" s="156" t="s">
        <v>531</v>
      </c>
      <c r="D228" s="20" t="s">
        <v>9</v>
      </c>
      <c r="E228" s="34" t="s">
        <v>608</v>
      </c>
      <c r="F228" s="48">
        <f>20+21</f>
        <v>41</v>
      </c>
      <c r="G228" s="20"/>
      <c r="H228" s="20"/>
      <c r="I228" s="20"/>
      <c r="J228" s="51"/>
      <c r="K228" s="22"/>
      <c r="L228" s="188"/>
      <c r="M228" s="21">
        <v>0.21</v>
      </c>
      <c r="N228" s="20"/>
      <c r="O228" s="48"/>
      <c r="P228" s="61" t="s">
        <v>617</v>
      </c>
      <c r="Q228" s="63"/>
      <c r="R228" s="63">
        <v>13243427</v>
      </c>
    </row>
    <row r="229" spans="1:18" s="2" customFormat="1" ht="19.8" customHeight="1" thickBot="1" x14ac:dyDescent="0.25">
      <c r="A229" s="209" t="s">
        <v>609</v>
      </c>
      <c r="B229" s="210"/>
      <c r="C229" s="210"/>
      <c r="D229" s="210"/>
      <c r="E229" s="210"/>
      <c r="F229" s="210"/>
      <c r="G229" s="210"/>
      <c r="H229" s="210"/>
      <c r="I229" s="210"/>
      <c r="J229" s="210"/>
      <c r="K229" s="210"/>
      <c r="L229" s="210"/>
      <c r="M229" s="183">
        <f>SUM(L3:L228)</f>
        <v>0</v>
      </c>
      <c r="N229" s="185"/>
      <c r="O229" s="185"/>
      <c r="P229" s="42"/>
      <c r="Q229" s="4"/>
    </row>
    <row r="230" spans="1:18" s="2" customFormat="1" ht="16.2" customHeight="1" thickTop="1" thickBot="1" x14ac:dyDescent="0.25">
      <c r="A230" s="211" t="s">
        <v>610</v>
      </c>
      <c r="B230" s="211"/>
      <c r="C230" s="211"/>
      <c r="D230" s="211"/>
      <c r="E230" s="211"/>
      <c r="F230" s="211"/>
      <c r="G230" s="211"/>
      <c r="H230" s="211"/>
      <c r="I230" s="211"/>
      <c r="J230" s="211"/>
      <c r="K230" s="211"/>
      <c r="L230" s="211"/>
      <c r="M230" s="150">
        <f>ROUND(0.21*M229,2)</f>
        <v>0</v>
      </c>
      <c r="N230" s="5"/>
      <c r="O230" s="5"/>
      <c r="P230" s="43"/>
      <c r="Q230" s="6"/>
    </row>
    <row r="231" spans="1:18" s="2" customFormat="1" ht="17.399999999999999" customHeight="1" thickTop="1" thickBot="1" x14ac:dyDescent="0.25">
      <c r="A231" s="212" t="s">
        <v>611</v>
      </c>
      <c r="B231" s="212"/>
      <c r="C231" s="212"/>
      <c r="D231" s="212"/>
      <c r="E231" s="212"/>
      <c r="F231" s="212"/>
      <c r="G231" s="212"/>
      <c r="H231" s="212"/>
      <c r="I231" s="212"/>
      <c r="J231" s="212"/>
      <c r="K231" s="212"/>
      <c r="L231" s="212"/>
      <c r="M231" s="183">
        <f>M229+M230</f>
        <v>0</v>
      </c>
      <c r="N231" s="184"/>
      <c r="O231" s="7"/>
      <c r="P231" s="44"/>
      <c r="Q231" s="8"/>
    </row>
    <row r="232" spans="1:18" s="2" customFormat="1" ht="10.8" thickTop="1" x14ac:dyDescent="0.2">
      <c r="A232" s="9"/>
      <c r="B232" s="33"/>
      <c r="C232" s="33"/>
      <c r="D232" s="11"/>
      <c r="E232" s="12"/>
      <c r="F232" s="155"/>
      <c r="G232" s="10"/>
      <c r="H232" s="13"/>
      <c r="I232" s="13"/>
      <c r="J232" s="54"/>
      <c r="K232" s="14"/>
      <c r="L232" s="15"/>
      <c r="M232" s="16"/>
      <c r="N232" s="17"/>
      <c r="O232" s="148"/>
      <c r="P232" s="37"/>
      <c r="Q232" s="19"/>
    </row>
    <row r="233" spans="1:18" s="2" customFormat="1" ht="10.199999999999999" x14ac:dyDescent="0.2">
      <c r="A233" s="213" t="s">
        <v>7</v>
      </c>
      <c r="B233" s="213"/>
      <c r="C233" s="213"/>
      <c r="D233" s="213"/>
      <c r="E233" s="213"/>
      <c r="F233" s="213"/>
      <c r="G233" s="213"/>
      <c r="H233" s="213"/>
      <c r="I233" s="213"/>
      <c r="J233" s="213"/>
      <c r="K233" s="213"/>
      <c r="L233" s="213"/>
      <c r="M233" s="213"/>
      <c r="N233" s="213"/>
      <c r="O233" s="213"/>
      <c r="P233" s="213"/>
      <c r="Q233" s="213"/>
    </row>
    <row r="234" spans="1:18" s="2" customFormat="1" ht="10.199999999999999" x14ac:dyDescent="0.2">
      <c r="A234" s="213"/>
      <c r="B234" s="213"/>
      <c r="C234" s="213"/>
      <c r="D234" s="213"/>
      <c r="E234" s="213"/>
      <c r="F234" s="213"/>
      <c r="G234" s="213"/>
      <c r="H234" s="213"/>
      <c r="I234" s="213"/>
      <c r="J234" s="213"/>
      <c r="K234" s="213"/>
      <c r="L234" s="213"/>
      <c r="M234" s="213"/>
      <c r="N234" s="213"/>
      <c r="O234" s="213"/>
      <c r="P234" s="213"/>
      <c r="Q234" s="213"/>
    </row>
    <row r="235" spans="1:18" s="2" customFormat="1" ht="10.199999999999999" x14ac:dyDescent="0.2">
      <c r="A235" s="9"/>
      <c r="B235" s="33"/>
      <c r="C235" s="33"/>
      <c r="D235" s="11"/>
      <c r="E235" s="12"/>
      <c r="F235" s="155"/>
      <c r="G235" s="10"/>
      <c r="H235" s="13"/>
      <c r="I235" s="13"/>
      <c r="J235" s="54"/>
      <c r="K235" s="14"/>
      <c r="L235" s="15"/>
      <c r="M235" s="16"/>
      <c r="N235" s="17"/>
      <c r="O235" s="148"/>
      <c r="P235" s="37"/>
      <c r="Q235" s="19"/>
    </row>
    <row r="236" spans="1:18" s="2" customFormat="1" ht="10.199999999999999" x14ac:dyDescent="0.2">
      <c r="A236" s="214" t="s">
        <v>8</v>
      </c>
      <c r="B236" s="214"/>
      <c r="C236" s="214"/>
      <c r="D236" s="214"/>
      <c r="E236" s="214"/>
      <c r="F236" s="214"/>
      <c r="G236" s="214"/>
      <c r="H236" s="214"/>
      <c r="I236" s="214"/>
      <c r="J236" s="214"/>
      <c r="K236" s="214"/>
      <c r="L236" s="214"/>
      <c r="M236" s="214"/>
      <c r="N236" s="214"/>
      <c r="O236" s="214"/>
      <c r="P236" s="214"/>
      <c r="Q236" s="214"/>
    </row>
    <row r="237" spans="1:18" s="2" customFormat="1" ht="10.199999999999999" x14ac:dyDescent="0.2">
      <c r="A237" s="215"/>
      <c r="B237" s="216"/>
      <c r="C237" s="216"/>
      <c r="D237" s="217"/>
      <c r="E237" s="218"/>
      <c r="F237" s="218"/>
      <c r="G237" s="216"/>
      <c r="H237" s="219"/>
      <c r="I237" s="219"/>
      <c r="J237" s="218"/>
      <c r="K237" s="220"/>
      <c r="L237" s="214"/>
      <c r="M237" s="221"/>
      <c r="N237" s="222"/>
      <c r="O237" s="222"/>
      <c r="P237" s="223"/>
      <c r="Q237" s="224"/>
    </row>
    <row r="238" spans="1:18" s="2" customFormat="1" ht="10.199999999999999" x14ac:dyDescent="0.2">
      <c r="A238" s="215"/>
      <c r="B238" s="216"/>
      <c r="C238" s="216"/>
      <c r="D238" s="217"/>
      <c r="E238" s="218"/>
      <c r="F238" s="218"/>
      <c r="G238" s="216"/>
      <c r="H238" s="219"/>
      <c r="I238" s="219"/>
      <c r="J238" s="218"/>
      <c r="K238" s="220"/>
      <c r="L238" s="214"/>
      <c r="M238" s="221"/>
      <c r="N238" s="222"/>
      <c r="O238" s="222"/>
      <c r="P238" s="223"/>
      <c r="Q238" s="224"/>
    </row>
    <row r="239" spans="1:18" s="2" customFormat="1" ht="10.199999999999999" x14ac:dyDescent="0.2">
      <c r="A239" s="215"/>
      <c r="B239" s="216"/>
      <c r="C239" s="216"/>
      <c r="D239" s="217"/>
      <c r="E239" s="218"/>
      <c r="F239" s="218"/>
      <c r="G239" s="216"/>
      <c r="H239" s="219"/>
      <c r="I239" s="219"/>
      <c r="J239" s="218"/>
      <c r="K239" s="220"/>
      <c r="L239" s="214"/>
      <c r="M239" s="221"/>
      <c r="N239" s="222"/>
      <c r="O239" s="222"/>
      <c r="P239" s="223"/>
      <c r="Q239" s="224"/>
    </row>
    <row r="240" spans="1:18" s="2" customFormat="1" ht="10.199999999999999" x14ac:dyDescent="0.2">
      <c r="A240" s="215"/>
      <c r="B240" s="216"/>
      <c r="C240" s="216"/>
      <c r="D240" s="217"/>
      <c r="E240" s="218"/>
      <c r="F240" s="218"/>
      <c r="G240" s="216"/>
      <c r="H240" s="219"/>
      <c r="I240" s="219"/>
      <c r="J240" s="218"/>
      <c r="K240" s="220"/>
      <c r="L240" s="214"/>
      <c r="M240" s="221"/>
      <c r="N240" s="222"/>
      <c r="O240" s="222"/>
      <c r="P240" s="223"/>
      <c r="Q240" s="224"/>
    </row>
    <row r="241" spans="1:17" s="2" customFormat="1" ht="10.199999999999999" x14ac:dyDescent="0.2">
      <c r="A241" s="215"/>
      <c r="B241" s="216"/>
      <c r="C241" s="216"/>
      <c r="D241" s="217"/>
      <c r="E241" s="218"/>
      <c r="F241" s="218"/>
      <c r="G241" s="216"/>
      <c r="H241" s="219"/>
      <c r="I241" s="219"/>
      <c r="J241" s="218"/>
      <c r="K241" s="220"/>
      <c r="L241" s="214"/>
      <c r="M241" s="221"/>
      <c r="N241" s="222"/>
      <c r="O241" s="222"/>
      <c r="P241" s="223"/>
      <c r="Q241" s="224"/>
    </row>
    <row r="242" spans="1:17" s="2" customFormat="1" ht="10.199999999999999" x14ac:dyDescent="0.2">
      <c r="A242" s="215"/>
      <c r="B242" s="216"/>
      <c r="C242" s="216"/>
      <c r="D242" s="217"/>
      <c r="E242" s="218"/>
      <c r="F242" s="218"/>
      <c r="G242" s="216"/>
      <c r="H242" s="219"/>
      <c r="I242" s="219"/>
      <c r="J242" s="218"/>
      <c r="K242" s="220"/>
      <c r="L242" s="214"/>
      <c r="M242" s="221"/>
      <c r="N242" s="222"/>
      <c r="O242" s="222"/>
      <c r="P242" s="223"/>
      <c r="Q242" s="224"/>
    </row>
    <row r="243" spans="1:17" s="2" customFormat="1" ht="10.199999999999999" x14ac:dyDescent="0.2">
      <c r="A243" s="215"/>
      <c r="B243" s="216"/>
      <c r="C243" s="216"/>
      <c r="D243" s="217"/>
      <c r="E243" s="218"/>
      <c r="F243" s="218"/>
      <c r="G243" s="216"/>
      <c r="H243" s="219"/>
      <c r="I243" s="219"/>
      <c r="J243" s="218"/>
      <c r="K243" s="220"/>
      <c r="L243" s="214"/>
      <c r="M243" s="221"/>
      <c r="N243" s="222"/>
      <c r="O243" s="222"/>
      <c r="P243" s="223"/>
      <c r="Q243" s="224"/>
    </row>
    <row r="244" spans="1:17" s="2" customFormat="1" ht="10.199999999999999" x14ac:dyDescent="0.2">
      <c r="A244" s="215"/>
      <c r="B244" s="216"/>
      <c r="C244" s="216"/>
      <c r="D244" s="217"/>
      <c r="E244" s="218"/>
      <c r="F244" s="218"/>
      <c r="G244" s="216"/>
      <c r="H244" s="219"/>
      <c r="I244" s="219"/>
      <c r="J244" s="218"/>
      <c r="K244" s="220"/>
      <c r="L244" s="214"/>
      <c r="M244" s="221"/>
      <c r="N244" s="222"/>
      <c r="O244" s="222"/>
      <c r="P244" s="223"/>
      <c r="Q244" s="224"/>
    </row>
    <row r="245" spans="1:17" s="2" customFormat="1" ht="10.199999999999999" x14ac:dyDescent="0.2">
      <c r="A245" s="215"/>
      <c r="B245" s="216"/>
      <c r="C245" s="216"/>
      <c r="D245" s="217"/>
      <c r="E245" s="218"/>
      <c r="F245" s="218"/>
      <c r="G245" s="216"/>
      <c r="H245" s="219"/>
      <c r="I245" s="219"/>
      <c r="J245" s="218"/>
      <c r="K245" s="220"/>
      <c r="L245" s="214"/>
      <c r="M245" s="221"/>
      <c r="N245" s="222"/>
      <c r="O245" s="222"/>
      <c r="P245" s="223"/>
      <c r="Q245" s="224"/>
    </row>
    <row r="246" spans="1:17" s="2" customFormat="1" ht="10.199999999999999" x14ac:dyDescent="0.2">
      <c r="A246" s="215"/>
      <c r="B246" s="216"/>
      <c r="C246" s="216"/>
      <c r="D246" s="217"/>
      <c r="E246" s="218"/>
      <c r="F246" s="218"/>
      <c r="G246" s="216"/>
      <c r="H246" s="219"/>
      <c r="I246" s="219"/>
      <c r="J246" s="218"/>
      <c r="K246" s="220"/>
      <c r="L246" s="214"/>
      <c r="M246" s="221"/>
      <c r="N246" s="222"/>
      <c r="O246" s="222"/>
      <c r="P246" s="223"/>
      <c r="Q246" s="224"/>
    </row>
    <row r="247" spans="1:17" s="2" customFormat="1" ht="10.199999999999999" x14ac:dyDescent="0.2">
      <c r="A247" s="215"/>
      <c r="B247" s="216"/>
      <c r="C247" s="216"/>
      <c r="D247" s="217"/>
      <c r="E247" s="218"/>
      <c r="F247" s="218"/>
      <c r="G247" s="216"/>
      <c r="H247" s="219"/>
      <c r="I247" s="219"/>
      <c r="J247" s="218"/>
      <c r="K247" s="220"/>
      <c r="L247" s="214"/>
      <c r="M247" s="221"/>
      <c r="N247" s="222"/>
      <c r="O247" s="222"/>
      <c r="P247" s="223"/>
      <c r="Q247" s="224"/>
    </row>
    <row r="248" spans="1:17" s="2" customFormat="1" ht="10.199999999999999" x14ac:dyDescent="0.2">
      <c r="A248" s="215"/>
      <c r="B248" s="216"/>
      <c r="C248" s="216"/>
      <c r="D248" s="217"/>
      <c r="E248" s="218"/>
      <c r="F248" s="218"/>
      <c r="G248" s="216"/>
      <c r="H248" s="219"/>
      <c r="I248" s="219"/>
      <c r="J248" s="218"/>
      <c r="K248" s="220"/>
      <c r="L248" s="214"/>
      <c r="M248" s="221"/>
      <c r="N248" s="222"/>
      <c r="O248" s="222"/>
      <c r="P248" s="223"/>
      <c r="Q248" s="224"/>
    </row>
    <row r="249" spans="1:17" s="2" customFormat="1" ht="10.199999999999999" x14ac:dyDescent="0.2">
      <c r="A249" s="215"/>
      <c r="B249" s="216"/>
      <c r="C249" s="216"/>
      <c r="D249" s="217"/>
      <c r="E249" s="218"/>
      <c r="F249" s="218"/>
      <c r="G249" s="216"/>
      <c r="H249" s="219"/>
      <c r="I249" s="219"/>
      <c r="J249" s="218"/>
      <c r="K249" s="220"/>
      <c r="L249" s="214"/>
      <c r="M249" s="221"/>
      <c r="N249" s="222"/>
      <c r="O249" s="222"/>
      <c r="P249" s="223"/>
      <c r="Q249" s="224"/>
    </row>
    <row r="250" spans="1:17" s="2" customFormat="1" ht="10.199999999999999" x14ac:dyDescent="0.2">
      <c r="A250" s="215"/>
      <c r="B250" s="216"/>
      <c r="C250" s="216"/>
      <c r="D250" s="217"/>
      <c r="E250" s="218"/>
      <c r="F250" s="218"/>
      <c r="G250" s="216"/>
      <c r="H250" s="219"/>
      <c r="I250" s="219"/>
      <c r="J250" s="218"/>
      <c r="K250" s="220"/>
      <c r="L250" s="214"/>
      <c r="M250" s="221"/>
      <c r="N250" s="222"/>
      <c r="O250" s="222"/>
      <c r="P250" s="223"/>
      <c r="Q250" s="224"/>
    </row>
    <row r="251" spans="1:17" s="2" customFormat="1" ht="10.199999999999999" x14ac:dyDescent="0.2">
      <c r="A251" s="9"/>
      <c r="B251" s="33"/>
      <c r="C251" s="33"/>
      <c r="D251" s="12"/>
      <c r="E251" s="12"/>
      <c r="F251" s="155"/>
      <c r="G251" s="13"/>
      <c r="H251" s="13"/>
      <c r="I251" s="12"/>
      <c r="J251" s="47"/>
      <c r="K251" s="15"/>
      <c r="L251" s="16"/>
      <c r="M251" s="17"/>
      <c r="N251" s="18"/>
      <c r="O251" s="149"/>
      <c r="P251" s="38"/>
      <c r="Q251" s="19"/>
    </row>
    <row r="252" spans="1:17" ht="14.4" x14ac:dyDescent="0.3"/>
    <row r="253" spans="1:17" ht="14.4" x14ac:dyDescent="0.3"/>
    <row r="254" spans="1:17" ht="14.4" x14ac:dyDescent="0.3"/>
    <row r="255" spans="1:17" ht="14.4" x14ac:dyDescent="0.3"/>
    <row r="256" spans="1:17"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row r="324" ht="14.4" x14ac:dyDescent="0.3"/>
    <row r="325" ht="14.4" x14ac:dyDescent="0.3"/>
    <row r="326" ht="14.4" x14ac:dyDescent="0.3"/>
    <row r="327" ht="14.4" x14ac:dyDescent="0.3"/>
    <row r="328" ht="14.4" x14ac:dyDescent="0.3"/>
    <row r="329" ht="14.4" x14ac:dyDescent="0.3"/>
  </sheetData>
  <mergeCells count="5">
    <mergeCell ref="A229:L229"/>
    <mergeCell ref="A230:L230"/>
    <mergeCell ref="A231:L231"/>
    <mergeCell ref="A233:Q234"/>
    <mergeCell ref="A236:Q25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41257-599C-495D-B7FD-BA91459DF215}">
  <dimension ref="A1:R329"/>
  <sheetViews>
    <sheetView tabSelected="1" topLeftCell="A223" zoomScale="80" zoomScaleNormal="80" workbookViewId="0">
      <selection activeCell="J6" sqref="J6"/>
    </sheetView>
  </sheetViews>
  <sheetFormatPr defaultColWidth="8.88671875" defaultRowHeight="91.8" customHeight="1" x14ac:dyDescent="0.3"/>
  <cols>
    <col min="1" max="1" width="15.21875" customWidth="1"/>
    <col min="2" max="2" width="8.88671875" hidden="1" customWidth="1"/>
    <col min="3" max="3" width="47.33203125" style="197" customWidth="1"/>
    <col min="4" max="4" width="4.88671875" bestFit="1" customWidth="1"/>
    <col min="5" max="6" width="10.6640625" customWidth="1"/>
    <col min="7" max="7" width="7.44140625" hidden="1" customWidth="1"/>
    <col min="8" max="8" width="5.21875" hidden="1" customWidth="1"/>
    <col min="9" max="9" width="3.44140625" hidden="1" customWidth="1"/>
    <col min="10" max="10" width="17.33203125" style="55" customWidth="1"/>
    <col min="11" max="11" width="2.33203125" hidden="1" customWidth="1"/>
    <col min="12" max="12" width="14" customWidth="1"/>
    <col min="13" max="13" width="17.21875" customWidth="1"/>
    <col min="14" max="14" width="9.109375" hidden="1" customWidth="1"/>
    <col min="15" max="15" width="19.109375" customWidth="1"/>
    <col min="16" max="16" width="15.77734375" style="45" customWidth="1"/>
    <col min="17" max="17" width="13.109375" customWidth="1"/>
    <col min="18" max="18" width="23.77734375" hidden="1" customWidth="1"/>
  </cols>
  <sheetData>
    <row r="1" spans="1:17" s="1" customFormat="1" ht="36" customHeight="1" thickBot="1" x14ac:dyDescent="0.25">
      <c r="A1" s="106" t="s">
        <v>637</v>
      </c>
      <c r="B1" s="106" t="s">
        <v>10</v>
      </c>
      <c r="C1" s="106" t="s">
        <v>638</v>
      </c>
      <c r="D1" s="107" t="s">
        <v>0</v>
      </c>
      <c r="E1" s="108" t="s">
        <v>1</v>
      </c>
      <c r="F1" s="106" t="s">
        <v>652</v>
      </c>
      <c r="G1" s="109" t="s">
        <v>2</v>
      </c>
      <c r="H1" s="109" t="s">
        <v>3</v>
      </c>
      <c r="I1" s="108" t="s">
        <v>4</v>
      </c>
      <c r="J1" s="108" t="s">
        <v>644</v>
      </c>
      <c r="K1" s="110" t="s">
        <v>5</v>
      </c>
      <c r="L1" s="56" t="s">
        <v>645</v>
      </c>
      <c r="M1" s="57" t="s">
        <v>646</v>
      </c>
      <c r="N1" s="111" t="s">
        <v>6</v>
      </c>
      <c r="O1" s="153" t="s">
        <v>647</v>
      </c>
      <c r="P1" s="112" t="s">
        <v>648</v>
      </c>
      <c r="Q1" s="113" t="s">
        <v>649</v>
      </c>
    </row>
    <row r="2" spans="1:17" s="1" customFormat="1" ht="30.6" customHeight="1" thickBot="1" x14ac:dyDescent="0.25">
      <c r="A2" s="115"/>
      <c r="B2" s="116"/>
      <c r="C2" s="115" t="s">
        <v>227</v>
      </c>
      <c r="D2" s="117"/>
      <c r="E2" s="118"/>
      <c r="F2" s="118"/>
      <c r="G2" s="119"/>
      <c r="H2" s="119"/>
      <c r="I2" s="117"/>
      <c r="J2" s="120"/>
      <c r="K2" s="121"/>
      <c r="L2" s="105"/>
      <c r="M2" s="88"/>
      <c r="N2" s="122"/>
      <c r="O2" s="122"/>
      <c r="P2" s="123"/>
      <c r="Q2" s="124"/>
    </row>
    <row r="3" spans="1:17" ht="46.2" customHeight="1" x14ac:dyDescent="0.3">
      <c r="A3" s="34">
        <v>1</v>
      </c>
      <c r="B3" s="79" t="s">
        <v>605</v>
      </c>
      <c r="C3" s="202" t="s">
        <v>672</v>
      </c>
      <c r="D3" s="34" t="s">
        <v>639</v>
      </c>
      <c r="E3" s="34" t="s">
        <v>643</v>
      </c>
      <c r="F3" s="141">
        <f>60+0</f>
        <v>60</v>
      </c>
      <c r="G3" s="34"/>
      <c r="H3" s="34"/>
      <c r="I3" s="34"/>
      <c r="J3" s="198"/>
      <c r="K3" s="141"/>
      <c r="L3" s="187"/>
      <c r="M3" s="36">
        <v>0.21</v>
      </c>
      <c r="N3" s="34"/>
      <c r="O3" s="34"/>
      <c r="P3" s="114"/>
      <c r="Q3" s="168"/>
    </row>
    <row r="4" spans="1:17" ht="55.2" customHeight="1" x14ac:dyDescent="0.3">
      <c r="A4" s="20">
        <v>2</v>
      </c>
      <c r="B4" s="46" t="s">
        <v>11</v>
      </c>
      <c r="C4" s="202" t="s">
        <v>673</v>
      </c>
      <c r="D4" s="34" t="s">
        <v>639</v>
      </c>
      <c r="E4" s="34" t="s">
        <v>643</v>
      </c>
      <c r="F4" s="34">
        <f>60+0</f>
        <v>60</v>
      </c>
      <c r="G4" s="34"/>
      <c r="H4" s="34"/>
      <c r="I4" s="34"/>
      <c r="J4" s="199"/>
      <c r="K4" s="141"/>
      <c r="L4" s="187"/>
      <c r="M4" s="36">
        <v>0.21</v>
      </c>
      <c r="N4" s="20"/>
      <c r="O4" s="48"/>
      <c r="P4" s="40"/>
      <c r="Q4" s="34"/>
    </row>
    <row r="5" spans="1:17" ht="38.4" customHeight="1" x14ac:dyDescent="0.3">
      <c r="A5" s="20">
        <v>3</v>
      </c>
      <c r="B5" s="46" t="s">
        <v>12</v>
      </c>
      <c r="C5" s="202" t="s">
        <v>674</v>
      </c>
      <c r="D5" s="34" t="s">
        <v>639</v>
      </c>
      <c r="E5" s="34" t="s">
        <v>643</v>
      </c>
      <c r="F5" s="34">
        <f>100+0</f>
        <v>100</v>
      </c>
      <c r="G5" s="20"/>
      <c r="H5" s="20"/>
      <c r="I5" s="20"/>
      <c r="J5" s="199"/>
      <c r="K5" s="22"/>
      <c r="L5" s="187"/>
      <c r="M5" s="21">
        <v>0.21</v>
      </c>
      <c r="N5" s="20"/>
      <c r="O5" s="48"/>
      <c r="P5" s="40"/>
      <c r="Q5" s="20"/>
    </row>
    <row r="6" spans="1:17" ht="43.2" customHeight="1" x14ac:dyDescent="0.3">
      <c r="A6" s="20">
        <v>4</v>
      </c>
      <c r="B6" s="46" t="s">
        <v>13</v>
      </c>
      <c r="C6" s="202" t="s">
        <v>675</v>
      </c>
      <c r="D6" s="34" t="s">
        <v>639</v>
      </c>
      <c r="E6" s="34" t="s">
        <v>643</v>
      </c>
      <c r="F6" s="34">
        <f>150+1916</f>
        <v>2066</v>
      </c>
      <c r="G6" s="20"/>
      <c r="H6" s="20"/>
      <c r="I6" s="20"/>
      <c r="J6" s="199"/>
      <c r="K6" s="22"/>
      <c r="L6" s="187"/>
      <c r="M6" s="21">
        <v>0.21</v>
      </c>
      <c r="N6" s="20"/>
      <c r="O6" s="48"/>
      <c r="P6" s="40"/>
      <c r="Q6" s="20"/>
    </row>
    <row r="7" spans="1:17" ht="46.8" customHeight="1" x14ac:dyDescent="0.3">
      <c r="A7" s="20">
        <v>5</v>
      </c>
      <c r="B7" s="46" t="s">
        <v>14</v>
      </c>
      <c r="C7" s="202" t="s">
        <v>676</v>
      </c>
      <c r="D7" s="34" t="s">
        <v>639</v>
      </c>
      <c r="E7" s="34" t="s">
        <v>643</v>
      </c>
      <c r="F7" s="48">
        <f>600+0</f>
        <v>600</v>
      </c>
      <c r="G7" s="20"/>
      <c r="H7" s="20"/>
      <c r="I7" s="20"/>
      <c r="J7" s="199"/>
      <c r="K7" s="22"/>
      <c r="L7" s="187"/>
      <c r="M7" s="21">
        <v>0.21</v>
      </c>
      <c r="N7" s="20"/>
      <c r="O7" s="48"/>
      <c r="P7" s="40"/>
      <c r="Q7" s="20"/>
    </row>
    <row r="8" spans="1:17" ht="40.799999999999997" customHeight="1" x14ac:dyDescent="0.3">
      <c r="A8" s="20">
        <v>6</v>
      </c>
      <c r="B8" s="46" t="s">
        <v>15</v>
      </c>
      <c r="C8" s="202" t="s">
        <v>677</v>
      </c>
      <c r="D8" s="34" t="s">
        <v>639</v>
      </c>
      <c r="E8" s="34" t="s">
        <v>643</v>
      </c>
      <c r="F8" s="48">
        <f>1000+1580</f>
        <v>2580</v>
      </c>
      <c r="G8" s="20"/>
      <c r="H8" s="20"/>
      <c r="I8" s="20"/>
      <c r="J8" s="199"/>
      <c r="K8" s="22"/>
      <c r="L8" s="187"/>
      <c r="M8" s="21">
        <v>0.21</v>
      </c>
      <c r="N8" s="20"/>
      <c r="O8" s="48"/>
      <c r="P8" s="40"/>
      <c r="Q8" s="20"/>
    </row>
    <row r="9" spans="1:17" ht="39.6" customHeight="1" x14ac:dyDescent="0.3">
      <c r="A9" s="20">
        <v>7</v>
      </c>
      <c r="B9" s="46" t="s">
        <v>16</v>
      </c>
      <c r="C9" s="202" t="s">
        <v>678</v>
      </c>
      <c r="D9" s="34" t="s">
        <v>639</v>
      </c>
      <c r="E9" s="34" t="s">
        <v>643</v>
      </c>
      <c r="F9" s="48">
        <f>150+2637</f>
        <v>2787</v>
      </c>
      <c r="G9" s="20"/>
      <c r="H9" s="20"/>
      <c r="I9" s="20"/>
      <c r="J9" s="199"/>
      <c r="K9" s="22"/>
      <c r="L9" s="187"/>
      <c r="M9" s="21">
        <v>0.21</v>
      </c>
      <c r="N9" s="20"/>
      <c r="O9" s="48"/>
      <c r="P9" s="40"/>
      <c r="Q9" s="20"/>
    </row>
    <row r="10" spans="1:17" ht="40.799999999999997" customHeight="1" x14ac:dyDescent="0.3">
      <c r="A10" s="20">
        <v>8</v>
      </c>
      <c r="B10" s="46" t="s">
        <v>17</v>
      </c>
      <c r="C10" s="202" t="s">
        <v>229</v>
      </c>
      <c r="D10" s="34" t="s">
        <v>639</v>
      </c>
      <c r="E10" s="34" t="s">
        <v>643</v>
      </c>
      <c r="F10" s="48">
        <f>150+791</f>
        <v>941</v>
      </c>
      <c r="G10" s="20"/>
      <c r="H10" s="20"/>
      <c r="I10" s="20"/>
      <c r="J10" s="199"/>
      <c r="K10" s="22"/>
      <c r="L10" s="187"/>
      <c r="M10" s="21">
        <v>0.21</v>
      </c>
      <c r="N10" s="20"/>
      <c r="O10" s="48"/>
      <c r="P10" s="40"/>
      <c r="Q10" s="20"/>
    </row>
    <row r="11" spans="1:17" ht="58.8" customHeight="1" x14ac:dyDescent="0.3">
      <c r="A11" s="20">
        <v>9</v>
      </c>
      <c r="B11" s="46" t="s">
        <v>18</v>
      </c>
      <c r="C11" s="202" t="s">
        <v>679</v>
      </c>
      <c r="D11" s="34" t="s">
        <v>639</v>
      </c>
      <c r="E11" s="34" t="s">
        <v>643</v>
      </c>
      <c r="F11" s="48">
        <f>200+0</f>
        <v>200</v>
      </c>
      <c r="G11" s="20"/>
      <c r="H11" s="20"/>
      <c r="I11" s="20"/>
      <c r="J11" s="199"/>
      <c r="K11" s="22"/>
      <c r="L11" s="187"/>
      <c r="M11" s="21">
        <v>0.21</v>
      </c>
      <c r="N11" s="20"/>
      <c r="O11" s="48"/>
      <c r="P11" s="40"/>
      <c r="Q11" s="20"/>
    </row>
    <row r="12" spans="1:17" ht="60" customHeight="1" x14ac:dyDescent="0.3">
      <c r="A12" s="20">
        <v>10</v>
      </c>
      <c r="B12" s="46" t="s">
        <v>19</v>
      </c>
      <c r="C12" s="202" t="s">
        <v>680</v>
      </c>
      <c r="D12" s="34" t="s">
        <v>639</v>
      </c>
      <c r="E12" s="34" t="s">
        <v>643</v>
      </c>
      <c r="F12" s="48">
        <f>400+606</f>
        <v>1006</v>
      </c>
      <c r="G12" s="20"/>
      <c r="H12" s="20"/>
      <c r="I12" s="20"/>
      <c r="J12" s="199"/>
      <c r="K12" s="22"/>
      <c r="L12" s="187"/>
      <c r="M12" s="21">
        <v>0.21</v>
      </c>
      <c r="N12" s="20"/>
      <c r="O12" s="48"/>
      <c r="P12" s="40"/>
      <c r="Q12" s="20"/>
    </row>
    <row r="13" spans="1:17" ht="25.8" customHeight="1" x14ac:dyDescent="0.3">
      <c r="A13" s="20">
        <v>11</v>
      </c>
      <c r="B13" s="46" t="s">
        <v>20</v>
      </c>
      <c r="C13" s="202" t="s">
        <v>681</v>
      </c>
      <c r="D13" s="34" t="s">
        <v>639</v>
      </c>
      <c r="E13" s="34" t="s">
        <v>643</v>
      </c>
      <c r="F13" s="48">
        <f>200+0</f>
        <v>200</v>
      </c>
      <c r="G13" s="20"/>
      <c r="H13" s="20"/>
      <c r="I13" s="20"/>
      <c r="J13" s="199"/>
      <c r="K13" s="22"/>
      <c r="L13" s="187"/>
      <c r="M13" s="21">
        <v>0.21</v>
      </c>
      <c r="N13" s="20"/>
      <c r="O13" s="48"/>
      <c r="P13" s="40"/>
      <c r="Q13" s="20"/>
    </row>
    <row r="14" spans="1:17" ht="57" customHeight="1" x14ac:dyDescent="0.3">
      <c r="A14" s="20">
        <v>12</v>
      </c>
      <c r="B14" s="46" t="s">
        <v>21</v>
      </c>
      <c r="C14" s="202" t="s">
        <v>682</v>
      </c>
      <c r="D14" s="34" t="s">
        <v>639</v>
      </c>
      <c r="E14" s="34" t="s">
        <v>643</v>
      </c>
      <c r="F14" s="48">
        <f>100+0</f>
        <v>100</v>
      </c>
      <c r="G14" s="20"/>
      <c r="H14" s="20"/>
      <c r="I14" s="20"/>
      <c r="J14" s="199"/>
      <c r="K14" s="22"/>
      <c r="L14" s="187"/>
      <c r="M14" s="21">
        <v>0.21</v>
      </c>
      <c r="N14" s="20"/>
      <c r="O14" s="48"/>
      <c r="P14" s="40"/>
      <c r="Q14" s="20"/>
    </row>
    <row r="15" spans="1:17" ht="57" customHeight="1" x14ac:dyDescent="0.3">
      <c r="A15" s="20">
        <v>13</v>
      </c>
      <c r="B15" s="46" t="s">
        <v>22</v>
      </c>
      <c r="C15" s="202" t="s">
        <v>231</v>
      </c>
      <c r="D15" s="34" t="s">
        <v>639</v>
      </c>
      <c r="E15" s="34" t="s">
        <v>643</v>
      </c>
      <c r="F15" s="48">
        <f>150+762</f>
        <v>912</v>
      </c>
      <c r="G15" s="20"/>
      <c r="H15" s="20"/>
      <c r="I15" s="20"/>
      <c r="J15" s="199"/>
      <c r="K15" s="22"/>
      <c r="L15" s="187"/>
      <c r="M15" s="21">
        <v>0.21</v>
      </c>
      <c r="N15" s="20"/>
      <c r="O15" s="48"/>
      <c r="P15" s="40"/>
      <c r="Q15" s="20"/>
    </row>
    <row r="16" spans="1:17" ht="57" customHeight="1" x14ac:dyDescent="0.3">
      <c r="A16" s="20">
        <v>14</v>
      </c>
      <c r="B16" s="46" t="s">
        <v>23</v>
      </c>
      <c r="C16" s="202" t="s">
        <v>233</v>
      </c>
      <c r="D16" s="34" t="s">
        <v>639</v>
      </c>
      <c r="E16" s="34" t="s">
        <v>643</v>
      </c>
      <c r="F16" s="48">
        <f>40+516</f>
        <v>556</v>
      </c>
      <c r="G16" s="20"/>
      <c r="H16" s="20"/>
      <c r="I16" s="20"/>
      <c r="J16" s="199"/>
      <c r="K16" s="22"/>
      <c r="L16" s="187"/>
      <c r="M16" s="21">
        <v>0.21</v>
      </c>
      <c r="N16" s="20"/>
      <c r="O16" s="48"/>
      <c r="P16" s="40"/>
      <c r="Q16" s="20"/>
    </row>
    <row r="17" spans="1:18" ht="48.6" customHeight="1" x14ac:dyDescent="0.3">
      <c r="A17" s="20">
        <v>15</v>
      </c>
      <c r="B17" s="46" t="s">
        <v>24</v>
      </c>
      <c r="C17" s="202" t="s">
        <v>235</v>
      </c>
      <c r="D17" s="34" t="s">
        <v>639</v>
      </c>
      <c r="E17" s="34" t="s">
        <v>643</v>
      </c>
      <c r="F17" s="48">
        <f>40+1038</f>
        <v>1078</v>
      </c>
      <c r="G17" s="20"/>
      <c r="H17" s="20"/>
      <c r="I17" s="20"/>
      <c r="J17" s="199"/>
      <c r="K17" s="22"/>
      <c r="L17" s="187"/>
      <c r="M17" s="21">
        <v>0.21</v>
      </c>
      <c r="N17" s="20"/>
      <c r="O17" s="48"/>
      <c r="P17" s="40"/>
      <c r="Q17" s="20"/>
      <c r="R17" s="20">
        <v>6469431</v>
      </c>
    </row>
    <row r="18" spans="1:18" ht="56.4" customHeight="1" x14ac:dyDescent="0.3">
      <c r="A18" s="20">
        <v>16</v>
      </c>
      <c r="B18" s="46" t="s">
        <v>25</v>
      </c>
      <c r="C18" s="202" t="s">
        <v>683</v>
      </c>
      <c r="D18" s="34" t="s">
        <v>639</v>
      </c>
      <c r="E18" s="34" t="s">
        <v>643</v>
      </c>
      <c r="F18" s="48">
        <f>100+286</f>
        <v>386</v>
      </c>
      <c r="G18" s="20"/>
      <c r="H18" s="20"/>
      <c r="I18" s="20"/>
      <c r="J18" s="199"/>
      <c r="K18" s="22"/>
      <c r="L18" s="187"/>
      <c r="M18" s="21">
        <v>0.21</v>
      </c>
      <c r="N18" s="20"/>
      <c r="O18" s="48"/>
      <c r="P18" s="40"/>
      <c r="Q18" s="170"/>
      <c r="R18" s="20">
        <v>12429398</v>
      </c>
    </row>
    <row r="19" spans="1:18" ht="39.6" customHeight="1" x14ac:dyDescent="0.3">
      <c r="A19" s="20">
        <v>17</v>
      </c>
      <c r="B19" s="46" t="s">
        <v>26</v>
      </c>
      <c r="C19" s="202" t="s">
        <v>684</v>
      </c>
      <c r="D19" s="34" t="s">
        <v>639</v>
      </c>
      <c r="E19" s="34" t="s">
        <v>643</v>
      </c>
      <c r="F19" s="48">
        <f>20+256</f>
        <v>276</v>
      </c>
      <c r="G19" s="20"/>
      <c r="H19" s="20"/>
      <c r="I19" s="20"/>
      <c r="J19" s="199"/>
      <c r="K19" s="22"/>
      <c r="L19" s="187"/>
      <c r="M19" s="21">
        <v>0.21</v>
      </c>
      <c r="N19" s="20"/>
      <c r="O19" s="48"/>
      <c r="P19" s="40"/>
      <c r="Q19" s="20"/>
      <c r="R19" s="20">
        <v>105558</v>
      </c>
    </row>
    <row r="20" spans="1:18" ht="40.799999999999997" customHeight="1" x14ac:dyDescent="0.3">
      <c r="A20" s="20">
        <v>18</v>
      </c>
      <c r="B20" s="46" t="s">
        <v>223</v>
      </c>
      <c r="C20" s="202" t="s">
        <v>236</v>
      </c>
      <c r="D20" s="34" t="s">
        <v>639</v>
      </c>
      <c r="E20" s="34" t="s">
        <v>643</v>
      </c>
      <c r="F20" s="48">
        <f>200+112</f>
        <v>312</v>
      </c>
      <c r="G20" s="27"/>
      <c r="H20" s="27"/>
      <c r="I20" s="26"/>
      <c r="J20" s="53"/>
      <c r="K20" s="28"/>
      <c r="L20" s="188"/>
      <c r="M20" s="21">
        <v>0.21</v>
      </c>
      <c r="N20" s="29"/>
      <c r="O20" s="151"/>
      <c r="P20" s="39"/>
      <c r="Q20" s="20"/>
      <c r="R20" s="20">
        <v>109995</v>
      </c>
    </row>
    <row r="21" spans="1:18" ht="44.4" customHeight="1" thickBot="1" x14ac:dyDescent="0.35">
      <c r="A21" s="67">
        <v>19</v>
      </c>
      <c r="B21" s="68"/>
      <c r="C21" s="203" t="s">
        <v>237</v>
      </c>
      <c r="D21" s="34" t="s">
        <v>639</v>
      </c>
      <c r="E21" s="34" t="s">
        <v>643</v>
      </c>
      <c r="F21" s="67">
        <f>100+0</f>
        <v>100</v>
      </c>
      <c r="G21" s="91"/>
      <c r="H21" s="91"/>
      <c r="I21" s="92"/>
      <c r="J21" s="72"/>
      <c r="K21" s="73"/>
      <c r="L21" s="74"/>
      <c r="M21" s="94">
        <v>0.21</v>
      </c>
      <c r="N21" s="95"/>
      <c r="O21" s="95"/>
      <c r="P21" s="96"/>
      <c r="Q21" s="67"/>
      <c r="R21" s="66" t="s">
        <v>224</v>
      </c>
    </row>
    <row r="22" spans="1:18" s="2" customFormat="1" ht="28.8" customHeight="1" thickBot="1" x14ac:dyDescent="0.25">
      <c r="A22" s="102"/>
      <c r="B22" s="83"/>
      <c r="C22" s="194" t="s">
        <v>303</v>
      </c>
      <c r="D22" s="193"/>
      <c r="E22" s="83"/>
      <c r="F22" s="83"/>
      <c r="G22" s="85"/>
      <c r="H22" s="85"/>
      <c r="I22" s="83"/>
      <c r="J22" s="86"/>
      <c r="K22" s="87"/>
      <c r="L22" s="105"/>
      <c r="M22" s="88"/>
      <c r="N22" s="89"/>
      <c r="O22" s="89"/>
      <c r="P22" s="90"/>
      <c r="Q22" s="84"/>
    </row>
    <row r="23" spans="1:18" s="2" customFormat="1" ht="28.8" x14ac:dyDescent="0.3">
      <c r="A23" s="34">
        <v>20</v>
      </c>
      <c r="B23" s="79" t="s">
        <v>27</v>
      </c>
      <c r="C23" s="204" t="s">
        <v>239</v>
      </c>
      <c r="D23" s="34" t="s">
        <v>639</v>
      </c>
      <c r="E23" s="34" t="s">
        <v>643</v>
      </c>
      <c r="F23" s="34">
        <f>100+0</f>
        <v>100</v>
      </c>
      <c r="G23" s="97"/>
      <c r="H23" s="97"/>
      <c r="I23" s="98"/>
      <c r="J23" s="80"/>
      <c r="K23" s="99"/>
      <c r="L23" s="187"/>
      <c r="M23" s="36">
        <v>0.21</v>
      </c>
      <c r="N23" s="100"/>
      <c r="O23" s="100"/>
      <c r="P23" s="81" t="s">
        <v>653</v>
      </c>
      <c r="Q23" s="169"/>
    </row>
    <row r="24" spans="1:18" s="2" customFormat="1" ht="28.8" x14ac:dyDescent="0.3">
      <c r="A24" s="20">
        <v>21</v>
      </c>
      <c r="B24" s="46" t="s">
        <v>28</v>
      </c>
      <c r="C24" s="202" t="s">
        <v>241</v>
      </c>
      <c r="D24" s="34" t="s">
        <v>639</v>
      </c>
      <c r="E24" s="34" t="s">
        <v>643</v>
      </c>
      <c r="F24" s="48">
        <f>150+1563</f>
        <v>1713</v>
      </c>
      <c r="G24" s="27"/>
      <c r="H24" s="27"/>
      <c r="I24" s="26"/>
      <c r="J24" s="51"/>
      <c r="K24" s="28"/>
      <c r="L24" s="188"/>
      <c r="M24" s="21">
        <v>0.21</v>
      </c>
      <c r="N24" s="29"/>
      <c r="O24" s="151"/>
      <c r="P24" s="58" t="s">
        <v>653</v>
      </c>
      <c r="Q24" s="30"/>
    </row>
    <row r="25" spans="1:18" s="2" customFormat="1" ht="31.8" customHeight="1" x14ac:dyDescent="0.3">
      <c r="A25" s="20">
        <v>22</v>
      </c>
      <c r="B25" s="46" t="s">
        <v>29</v>
      </c>
      <c r="C25" s="202" t="s">
        <v>243</v>
      </c>
      <c r="D25" s="34" t="s">
        <v>639</v>
      </c>
      <c r="E25" s="34" t="s">
        <v>643</v>
      </c>
      <c r="F25" s="48">
        <f>40+0</f>
        <v>40</v>
      </c>
      <c r="G25" s="27"/>
      <c r="H25" s="27"/>
      <c r="I25" s="26"/>
      <c r="J25" s="51"/>
      <c r="K25" s="28"/>
      <c r="L25" s="188"/>
      <c r="M25" s="21">
        <v>0.21</v>
      </c>
      <c r="N25" s="29"/>
      <c r="O25" s="151"/>
      <c r="P25" s="58" t="s">
        <v>654</v>
      </c>
      <c r="Q25" s="30"/>
    </row>
    <row r="26" spans="1:18" s="2" customFormat="1" ht="28.8" x14ac:dyDescent="0.3">
      <c r="A26" s="20">
        <v>23</v>
      </c>
      <c r="B26" s="46" t="s">
        <v>30</v>
      </c>
      <c r="C26" s="202" t="s">
        <v>245</v>
      </c>
      <c r="D26" s="34" t="s">
        <v>639</v>
      </c>
      <c r="E26" s="34" t="s">
        <v>643</v>
      </c>
      <c r="F26" s="48">
        <f>40+83</f>
        <v>123</v>
      </c>
      <c r="G26" s="27"/>
      <c r="H26" s="27"/>
      <c r="I26" s="26"/>
      <c r="J26" s="51"/>
      <c r="K26" s="28"/>
      <c r="L26" s="188"/>
      <c r="M26" s="21">
        <v>0.21</v>
      </c>
      <c r="N26" s="29"/>
      <c r="O26" s="151"/>
      <c r="P26" s="58" t="s">
        <v>655</v>
      </c>
      <c r="Q26" s="30"/>
    </row>
    <row r="27" spans="1:18" s="2" customFormat="1" ht="36.6" customHeight="1" x14ac:dyDescent="0.3">
      <c r="A27" s="20">
        <v>24</v>
      </c>
      <c r="B27" s="46" t="s">
        <v>31</v>
      </c>
      <c r="C27" s="202" t="s">
        <v>247</v>
      </c>
      <c r="D27" s="34" t="s">
        <v>639</v>
      </c>
      <c r="E27" s="34" t="s">
        <v>643</v>
      </c>
      <c r="F27" s="48">
        <f>100+5716</f>
        <v>5816</v>
      </c>
      <c r="G27" s="27"/>
      <c r="H27" s="27"/>
      <c r="I27" s="26"/>
      <c r="J27" s="51"/>
      <c r="K27" s="28"/>
      <c r="L27" s="188"/>
      <c r="M27" s="21">
        <v>0.21</v>
      </c>
      <c r="N27" s="29"/>
      <c r="O27" s="151"/>
      <c r="P27" s="39"/>
      <c r="Q27" s="30"/>
    </row>
    <row r="28" spans="1:18" s="2" customFormat="1" ht="14.4" x14ac:dyDescent="0.3">
      <c r="A28" s="20">
        <v>25</v>
      </c>
      <c r="B28" s="46" t="s">
        <v>32</v>
      </c>
      <c r="C28" s="202" t="s">
        <v>249</v>
      </c>
      <c r="D28" s="34" t="s">
        <v>639</v>
      </c>
      <c r="E28" s="34" t="s">
        <v>643</v>
      </c>
      <c r="F28" s="48">
        <f>50+151</f>
        <v>201</v>
      </c>
      <c r="G28" s="27"/>
      <c r="H28" s="27"/>
      <c r="I28" s="26"/>
      <c r="J28" s="51"/>
      <c r="K28" s="28"/>
      <c r="L28" s="188"/>
      <c r="M28" s="21">
        <v>0.21</v>
      </c>
      <c r="N28" s="29"/>
      <c r="O28" s="151"/>
      <c r="P28" s="39"/>
      <c r="Q28" s="30"/>
    </row>
    <row r="29" spans="1:18" s="2" customFormat="1" ht="44.4" customHeight="1" x14ac:dyDescent="0.3">
      <c r="A29" s="20">
        <v>26</v>
      </c>
      <c r="B29" s="46" t="s">
        <v>33</v>
      </c>
      <c r="C29" s="202" t="s">
        <v>685</v>
      </c>
      <c r="D29" s="34" t="s">
        <v>639</v>
      </c>
      <c r="E29" s="34" t="s">
        <v>643</v>
      </c>
      <c r="F29" s="48">
        <f>100+0</f>
        <v>100</v>
      </c>
      <c r="G29" s="27"/>
      <c r="H29" s="27"/>
      <c r="I29" s="26"/>
      <c r="J29" s="51"/>
      <c r="K29" s="28"/>
      <c r="L29" s="188"/>
      <c r="M29" s="21">
        <v>0.21</v>
      </c>
      <c r="N29" s="29"/>
      <c r="O29" s="151"/>
      <c r="P29" s="58" t="s">
        <v>653</v>
      </c>
      <c r="Q29" s="30"/>
    </row>
    <row r="30" spans="1:18" s="2" customFormat="1" ht="43.2" customHeight="1" x14ac:dyDescent="0.3">
      <c r="A30" s="20">
        <v>27</v>
      </c>
      <c r="B30" s="46" t="s">
        <v>34</v>
      </c>
      <c r="C30" s="202" t="s">
        <v>686</v>
      </c>
      <c r="D30" s="34" t="s">
        <v>639</v>
      </c>
      <c r="E30" s="34" t="s">
        <v>643</v>
      </c>
      <c r="F30" s="48">
        <f>200+182</f>
        <v>382</v>
      </c>
      <c r="G30" s="27"/>
      <c r="H30" s="27"/>
      <c r="I30" s="26"/>
      <c r="J30" s="51"/>
      <c r="K30" s="28"/>
      <c r="L30" s="188"/>
      <c r="M30" s="21">
        <v>0.21</v>
      </c>
      <c r="N30" s="29"/>
      <c r="O30" s="151"/>
      <c r="P30" s="58" t="s">
        <v>656</v>
      </c>
      <c r="Q30" s="30"/>
    </row>
    <row r="31" spans="1:18" s="2" customFormat="1" ht="51" customHeight="1" x14ac:dyDescent="0.3">
      <c r="A31" s="20">
        <v>28</v>
      </c>
      <c r="B31" s="46" t="s">
        <v>35</v>
      </c>
      <c r="C31" s="202" t="s">
        <v>687</v>
      </c>
      <c r="D31" s="34" t="s">
        <v>639</v>
      </c>
      <c r="E31" s="34" t="s">
        <v>643</v>
      </c>
      <c r="F31" s="48">
        <f>100+83</f>
        <v>183</v>
      </c>
      <c r="G31" s="27"/>
      <c r="H31" s="27"/>
      <c r="I31" s="26"/>
      <c r="J31" s="51"/>
      <c r="K31" s="28"/>
      <c r="L31" s="188"/>
      <c r="M31" s="21">
        <v>0.21</v>
      </c>
      <c r="N31" s="29"/>
      <c r="O31" s="151"/>
      <c r="P31" s="58" t="s">
        <v>656</v>
      </c>
      <c r="Q31" s="30"/>
    </row>
    <row r="32" spans="1:18" s="2" customFormat="1" ht="56.4" customHeight="1" x14ac:dyDescent="0.3">
      <c r="A32" s="20">
        <v>29</v>
      </c>
      <c r="B32" s="46" t="s">
        <v>36</v>
      </c>
      <c r="C32" s="202" t="s">
        <v>688</v>
      </c>
      <c r="D32" s="34" t="s">
        <v>639</v>
      </c>
      <c r="E32" s="34" t="s">
        <v>643</v>
      </c>
      <c r="F32" s="48">
        <f>100+0</f>
        <v>100</v>
      </c>
      <c r="G32" s="27"/>
      <c r="H32" s="27"/>
      <c r="I32" s="26"/>
      <c r="J32" s="51"/>
      <c r="K32" s="28"/>
      <c r="L32" s="188"/>
      <c r="M32" s="21">
        <v>0.21</v>
      </c>
      <c r="N32" s="29"/>
      <c r="O32" s="151"/>
      <c r="P32" s="58" t="s">
        <v>656</v>
      </c>
      <c r="Q32" s="30"/>
    </row>
    <row r="33" spans="1:17" s="2" customFormat="1" ht="60.6" customHeight="1" x14ac:dyDescent="0.3">
      <c r="A33" s="20">
        <v>30</v>
      </c>
      <c r="B33" s="46" t="s">
        <v>37</v>
      </c>
      <c r="C33" s="202" t="s">
        <v>689</v>
      </c>
      <c r="D33" s="34" t="s">
        <v>639</v>
      </c>
      <c r="E33" s="34" t="s">
        <v>643</v>
      </c>
      <c r="F33" s="48">
        <f>20+7</f>
        <v>27</v>
      </c>
      <c r="G33" s="27"/>
      <c r="H33" s="27"/>
      <c r="I33" s="26"/>
      <c r="J33" s="51"/>
      <c r="K33" s="28"/>
      <c r="L33" s="188"/>
      <c r="M33" s="21">
        <v>0.21</v>
      </c>
      <c r="N33" s="29"/>
      <c r="O33" s="151"/>
      <c r="P33" s="58" t="s">
        <v>655</v>
      </c>
      <c r="Q33" s="30"/>
    </row>
    <row r="34" spans="1:17" s="2" customFormat="1" ht="51.6" customHeight="1" x14ac:dyDescent="0.3">
      <c r="A34" s="20">
        <v>31</v>
      </c>
      <c r="B34" s="46" t="s">
        <v>38</v>
      </c>
      <c r="C34" s="202" t="s">
        <v>690</v>
      </c>
      <c r="D34" s="34" t="s">
        <v>639</v>
      </c>
      <c r="E34" s="34" t="s">
        <v>643</v>
      </c>
      <c r="F34" s="48">
        <f>10+3</f>
        <v>13</v>
      </c>
      <c r="G34" s="27"/>
      <c r="H34" s="27"/>
      <c r="I34" s="26"/>
      <c r="J34" s="51"/>
      <c r="K34" s="28"/>
      <c r="L34" s="188"/>
      <c r="M34" s="21">
        <v>0.21</v>
      </c>
      <c r="N34" s="29"/>
      <c r="O34" s="151"/>
      <c r="P34" s="58" t="s">
        <v>655</v>
      </c>
      <c r="Q34" s="30"/>
    </row>
    <row r="35" spans="1:17" s="2" customFormat="1" ht="39" customHeight="1" x14ac:dyDescent="0.3">
      <c r="A35" s="20">
        <v>32</v>
      </c>
      <c r="B35" s="46" t="s">
        <v>39</v>
      </c>
      <c r="C35" s="202" t="s">
        <v>691</v>
      </c>
      <c r="D35" s="34" t="s">
        <v>639</v>
      </c>
      <c r="E35" s="34" t="s">
        <v>643</v>
      </c>
      <c r="F35" s="48">
        <f>20+4</f>
        <v>24</v>
      </c>
      <c r="G35" s="27"/>
      <c r="H35" s="27"/>
      <c r="I35" s="26"/>
      <c r="J35" s="51"/>
      <c r="K35" s="28"/>
      <c r="L35" s="188"/>
      <c r="M35" s="21">
        <v>0.21</v>
      </c>
      <c r="N35" s="29"/>
      <c r="O35" s="151"/>
      <c r="P35" s="58" t="s">
        <v>655</v>
      </c>
      <c r="Q35" s="30"/>
    </row>
    <row r="36" spans="1:17" s="2" customFormat="1" ht="49.8" customHeight="1" x14ac:dyDescent="0.3">
      <c r="A36" s="20">
        <v>33</v>
      </c>
      <c r="B36" s="46" t="s">
        <v>40</v>
      </c>
      <c r="C36" s="202" t="s">
        <v>692</v>
      </c>
      <c r="D36" s="34" t="s">
        <v>639</v>
      </c>
      <c r="E36" s="34" t="s">
        <v>643</v>
      </c>
      <c r="F36" s="48">
        <f>5+0</f>
        <v>5</v>
      </c>
      <c r="G36" s="27"/>
      <c r="H36" s="27"/>
      <c r="I36" s="26"/>
      <c r="J36" s="51"/>
      <c r="K36" s="28"/>
      <c r="L36" s="188"/>
      <c r="M36" s="21">
        <v>0.21</v>
      </c>
      <c r="N36" s="29"/>
      <c r="O36" s="151"/>
      <c r="P36" s="58" t="s">
        <v>655</v>
      </c>
      <c r="Q36" s="30"/>
    </row>
    <row r="37" spans="1:17" s="2" customFormat="1" ht="51.6" customHeight="1" x14ac:dyDescent="0.3">
      <c r="A37" s="20">
        <v>34</v>
      </c>
      <c r="B37" s="46" t="s">
        <v>41</v>
      </c>
      <c r="C37" s="202" t="s">
        <v>693</v>
      </c>
      <c r="D37" s="34" t="s">
        <v>639</v>
      </c>
      <c r="E37" s="34" t="s">
        <v>643</v>
      </c>
      <c r="F37" s="48">
        <f>10+56</f>
        <v>66</v>
      </c>
      <c r="G37" s="27"/>
      <c r="H37" s="27"/>
      <c r="I37" s="26"/>
      <c r="J37" s="51"/>
      <c r="K37" s="28"/>
      <c r="L37" s="188"/>
      <c r="M37" s="21">
        <v>0.21</v>
      </c>
      <c r="N37" s="29"/>
      <c r="O37" s="151"/>
      <c r="P37" s="58" t="s">
        <v>655</v>
      </c>
      <c r="Q37" s="30"/>
    </row>
    <row r="38" spans="1:17" s="2" customFormat="1" ht="57" customHeight="1" x14ac:dyDescent="0.3">
      <c r="A38" s="20">
        <v>35</v>
      </c>
      <c r="B38" s="46" t="s">
        <v>42</v>
      </c>
      <c r="C38" s="202" t="s">
        <v>694</v>
      </c>
      <c r="D38" s="34" t="s">
        <v>639</v>
      </c>
      <c r="E38" s="34" t="s">
        <v>643</v>
      </c>
      <c r="F38" s="48">
        <f>5+0</f>
        <v>5</v>
      </c>
      <c r="G38" s="27"/>
      <c r="H38" s="27"/>
      <c r="I38" s="26"/>
      <c r="J38" s="51"/>
      <c r="K38" s="28"/>
      <c r="L38" s="188"/>
      <c r="M38" s="21">
        <v>0.21</v>
      </c>
      <c r="N38" s="29"/>
      <c r="O38" s="151"/>
      <c r="P38" s="58" t="s">
        <v>655</v>
      </c>
      <c r="Q38" s="30"/>
    </row>
    <row r="39" spans="1:17" s="2" customFormat="1" ht="34.200000000000003" customHeight="1" x14ac:dyDescent="0.3">
      <c r="A39" s="20">
        <v>36</v>
      </c>
      <c r="B39" s="46" t="s">
        <v>43</v>
      </c>
      <c r="C39" s="202" t="s">
        <v>251</v>
      </c>
      <c r="D39" s="34" t="s">
        <v>639</v>
      </c>
      <c r="E39" s="34" t="s">
        <v>643</v>
      </c>
      <c r="F39" s="48">
        <f>20+977</f>
        <v>997</v>
      </c>
      <c r="G39" s="27"/>
      <c r="H39" s="27"/>
      <c r="I39" s="26"/>
      <c r="J39" s="51"/>
      <c r="K39" s="28"/>
      <c r="L39" s="188"/>
      <c r="M39" s="21">
        <v>0.21</v>
      </c>
      <c r="N39" s="29"/>
      <c r="O39" s="151"/>
      <c r="P39" s="58" t="s">
        <v>657</v>
      </c>
      <c r="Q39" s="30"/>
    </row>
    <row r="40" spans="1:17" s="2" customFormat="1" ht="31.2" customHeight="1" x14ac:dyDescent="0.3">
      <c r="A40" s="20">
        <v>37</v>
      </c>
      <c r="B40" s="46" t="s">
        <v>44</v>
      </c>
      <c r="C40" s="202" t="s">
        <v>695</v>
      </c>
      <c r="D40" s="34" t="s">
        <v>639</v>
      </c>
      <c r="E40" s="34" t="s">
        <v>643</v>
      </c>
      <c r="F40" s="48">
        <f>250+549</f>
        <v>799</v>
      </c>
      <c r="G40" s="27"/>
      <c r="H40" s="27"/>
      <c r="I40" s="26"/>
      <c r="J40" s="51"/>
      <c r="K40" s="28"/>
      <c r="L40" s="188"/>
      <c r="M40" s="21">
        <v>0.21</v>
      </c>
      <c r="N40" s="29"/>
      <c r="O40" s="151"/>
      <c r="P40" s="39"/>
      <c r="Q40" s="30"/>
    </row>
    <row r="41" spans="1:17" s="2" customFormat="1" ht="46.2" customHeight="1" x14ac:dyDescent="0.3">
      <c r="A41" s="20">
        <v>38</v>
      </c>
      <c r="B41" s="46" t="s">
        <v>45</v>
      </c>
      <c r="C41" s="202" t="s">
        <v>696</v>
      </c>
      <c r="D41" s="34" t="s">
        <v>639</v>
      </c>
      <c r="E41" s="34" t="s">
        <v>643</v>
      </c>
      <c r="F41" s="48">
        <f>100+0</f>
        <v>100</v>
      </c>
      <c r="G41" s="27"/>
      <c r="H41" s="27"/>
      <c r="I41" s="26"/>
      <c r="J41" s="51"/>
      <c r="K41" s="28"/>
      <c r="L41" s="188"/>
      <c r="M41" s="21">
        <v>0.21</v>
      </c>
      <c r="N41" s="29"/>
      <c r="O41" s="151"/>
      <c r="P41" s="39"/>
      <c r="Q41" s="30"/>
    </row>
    <row r="42" spans="1:17" s="2" customFormat="1" ht="36" customHeight="1" x14ac:dyDescent="0.3">
      <c r="A42" s="20">
        <v>39</v>
      </c>
      <c r="B42" s="46" t="s">
        <v>46</v>
      </c>
      <c r="C42" s="202" t="s">
        <v>697</v>
      </c>
      <c r="D42" s="34" t="s">
        <v>639</v>
      </c>
      <c r="E42" s="34" t="s">
        <v>643</v>
      </c>
      <c r="F42" s="48">
        <f>250+304</f>
        <v>554</v>
      </c>
      <c r="G42" s="27"/>
      <c r="H42" s="27"/>
      <c r="I42" s="26"/>
      <c r="J42" s="51"/>
      <c r="K42" s="28"/>
      <c r="L42" s="188"/>
      <c r="M42" s="21">
        <v>0.21</v>
      </c>
      <c r="N42" s="29"/>
      <c r="O42" s="151"/>
      <c r="P42" s="39"/>
      <c r="Q42" s="30"/>
    </row>
    <row r="43" spans="1:17" s="2" customFormat="1" ht="42" customHeight="1" x14ac:dyDescent="0.3">
      <c r="A43" s="20">
        <v>40</v>
      </c>
      <c r="B43" s="46" t="s">
        <v>47</v>
      </c>
      <c r="C43" s="202" t="s">
        <v>698</v>
      </c>
      <c r="D43" s="34" t="s">
        <v>639</v>
      </c>
      <c r="E43" s="34" t="s">
        <v>643</v>
      </c>
      <c r="F43" s="48">
        <f>100+204</f>
        <v>304</v>
      </c>
      <c r="G43" s="27"/>
      <c r="H43" s="27"/>
      <c r="I43" s="26"/>
      <c r="J43" s="51"/>
      <c r="K43" s="28"/>
      <c r="L43" s="188"/>
      <c r="M43" s="21">
        <v>0.21</v>
      </c>
      <c r="N43" s="29"/>
      <c r="O43" s="151"/>
      <c r="P43" s="39"/>
      <c r="Q43" s="30"/>
    </row>
    <row r="44" spans="1:17" s="2" customFormat="1" ht="51" customHeight="1" x14ac:dyDescent="0.3">
      <c r="A44" s="20">
        <v>41</v>
      </c>
      <c r="B44" s="46" t="s">
        <v>48</v>
      </c>
      <c r="C44" s="202" t="s">
        <v>699</v>
      </c>
      <c r="D44" s="34" t="s">
        <v>639</v>
      </c>
      <c r="E44" s="34" t="s">
        <v>643</v>
      </c>
      <c r="F44" s="48">
        <f>10+129</f>
        <v>139</v>
      </c>
      <c r="G44" s="27"/>
      <c r="H44" s="27"/>
      <c r="I44" s="26"/>
      <c r="J44" s="51"/>
      <c r="K44" s="28"/>
      <c r="L44" s="188"/>
      <c r="M44" s="21">
        <v>0.21</v>
      </c>
      <c r="N44" s="29"/>
      <c r="O44" s="151"/>
      <c r="P44" s="58" t="s">
        <v>654</v>
      </c>
      <c r="Q44" s="30"/>
    </row>
    <row r="45" spans="1:17" s="2" customFormat="1" ht="51" customHeight="1" x14ac:dyDescent="0.3">
      <c r="A45" s="20">
        <v>42</v>
      </c>
      <c r="B45" s="46" t="s">
        <v>49</v>
      </c>
      <c r="C45" s="202" t="s">
        <v>700</v>
      </c>
      <c r="D45" s="34" t="s">
        <v>639</v>
      </c>
      <c r="E45" s="34" t="s">
        <v>643</v>
      </c>
      <c r="F45" s="48">
        <f>10+66</f>
        <v>76</v>
      </c>
      <c r="G45" s="27"/>
      <c r="H45" s="27"/>
      <c r="I45" s="26"/>
      <c r="J45" s="51"/>
      <c r="K45" s="28"/>
      <c r="L45" s="188"/>
      <c r="M45" s="21">
        <v>0.21</v>
      </c>
      <c r="N45" s="29"/>
      <c r="O45" s="151"/>
      <c r="P45" s="58" t="s">
        <v>654</v>
      </c>
      <c r="Q45" s="30"/>
    </row>
    <row r="46" spans="1:17" s="2" customFormat="1" ht="51.6" customHeight="1" x14ac:dyDescent="0.3">
      <c r="A46" s="20">
        <v>43</v>
      </c>
      <c r="B46" s="46" t="s">
        <v>50</v>
      </c>
      <c r="C46" s="202" t="s">
        <v>701</v>
      </c>
      <c r="D46" s="34" t="s">
        <v>639</v>
      </c>
      <c r="E46" s="34" t="s">
        <v>643</v>
      </c>
      <c r="F46" s="48">
        <f>200+2453</f>
        <v>2653</v>
      </c>
      <c r="G46" s="27"/>
      <c r="H46" s="27"/>
      <c r="I46" s="26"/>
      <c r="J46" s="51"/>
      <c r="K46" s="28"/>
      <c r="L46" s="188"/>
      <c r="M46" s="21">
        <v>0.21</v>
      </c>
      <c r="N46" s="29"/>
      <c r="O46" s="151"/>
      <c r="P46" s="39"/>
      <c r="Q46" s="30"/>
    </row>
    <row r="47" spans="1:17" s="2" customFormat="1" ht="68.400000000000006" customHeight="1" x14ac:dyDescent="0.3">
      <c r="A47" s="20">
        <v>44</v>
      </c>
      <c r="B47" s="46" t="s">
        <v>51</v>
      </c>
      <c r="C47" s="202" t="s">
        <v>702</v>
      </c>
      <c r="D47" s="34" t="s">
        <v>639</v>
      </c>
      <c r="E47" s="34" t="s">
        <v>643</v>
      </c>
      <c r="F47" s="48">
        <f>400+9129</f>
        <v>9529</v>
      </c>
      <c r="G47" s="27"/>
      <c r="H47" s="27"/>
      <c r="I47" s="26"/>
      <c r="J47" s="51"/>
      <c r="K47" s="28"/>
      <c r="L47" s="188"/>
      <c r="M47" s="21">
        <v>0.21</v>
      </c>
      <c r="N47" s="29"/>
      <c r="O47" s="151"/>
      <c r="P47" s="39"/>
      <c r="Q47" s="30"/>
    </row>
    <row r="48" spans="1:17" s="2" customFormat="1" ht="60.6" customHeight="1" x14ac:dyDescent="0.3">
      <c r="A48" s="20">
        <v>45</v>
      </c>
      <c r="B48" s="46" t="s">
        <v>52</v>
      </c>
      <c r="C48" s="202" t="s">
        <v>703</v>
      </c>
      <c r="D48" s="34" t="s">
        <v>639</v>
      </c>
      <c r="E48" s="34" t="s">
        <v>643</v>
      </c>
      <c r="F48" s="48">
        <f>100+1109</f>
        <v>1209</v>
      </c>
      <c r="G48" s="27"/>
      <c r="H48" s="27"/>
      <c r="I48" s="26"/>
      <c r="J48" s="51"/>
      <c r="K48" s="28"/>
      <c r="L48" s="188"/>
      <c r="M48" s="21">
        <v>0.21</v>
      </c>
      <c r="N48" s="29"/>
      <c r="O48" s="151"/>
      <c r="P48" s="58" t="s">
        <v>654</v>
      </c>
      <c r="Q48" s="30"/>
    </row>
    <row r="49" spans="1:18" s="2" customFormat="1" ht="59.4" customHeight="1" x14ac:dyDescent="0.3">
      <c r="A49" s="20">
        <v>46</v>
      </c>
      <c r="B49" s="46" t="s">
        <v>53</v>
      </c>
      <c r="C49" s="202" t="s">
        <v>704</v>
      </c>
      <c r="D49" s="34" t="s">
        <v>639</v>
      </c>
      <c r="E49" s="34" t="s">
        <v>643</v>
      </c>
      <c r="F49" s="48">
        <f>250+10316</f>
        <v>10566</v>
      </c>
      <c r="G49" s="27"/>
      <c r="H49" s="27"/>
      <c r="I49" s="26"/>
      <c r="J49" s="51"/>
      <c r="K49" s="28"/>
      <c r="L49" s="188"/>
      <c r="M49" s="21">
        <v>0.21</v>
      </c>
      <c r="N49" s="29"/>
      <c r="O49" s="151"/>
      <c r="P49" s="39"/>
      <c r="Q49" s="30"/>
    </row>
    <row r="50" spans="1:18" s="2" customFormat="1" ht="56.4" customHeight="1" x14ac:dyDescent="0.3">
      <c r="A50" s="20">
        <v>47</v>
      </c>
      <c r="B50" s="46" t="s">
        <v>54</v>
      </c>
      <c r="C50" s="202" t="s">
        <v>705</v>
      </c>
      <c r="D50" s="34" t="s">
        <v>639</v>
      </c>
      <c r="E50" s="34" t="s">
        <v>643</v>
      </c>
      <c r="F50" s="48">
        <f>50+0</f>
        <v>50</v>
      </c>
      <c r="G50" s="27"/>
      <c r="H50" s="27"/>
      <c r="I50" s="26"/>
      <c r="J50" s="51"/>
      <c r="K50" s="28"/>
      <c r="L50" s="188"/>
      <c r="M50" s="21">
        <v>0.21</v>
      </c>
      <c r="N50" s="29"/>
      <c r="O50" s="151"/>
      <c r="P50" s="39"/>
      <c r="Q50" s="30"/>
    </row>
    <row r="51" spans="1:18" s="2" customFormat="1" ht="52.8" customHeight="1" x14ac:dyDescent="0.3">
      <c r="A51" s="20">
        <v>48</v>
      </c>
      <c r="B51" s="46" t="s">
        <v>55</v>
      </c>
      <c r="C51" s="202" t="s">
        <v>706</v>
      </c>
      <c r="D51" s="34" t="s">
        <v>639</v>
      </c>
      <c r="E51" s="34" t="s">
        <v>643</v>
      </c>
      <c r="F51" s="48">
        <f>60+0</f>
        <v>60</v>
      </c>
      <c r="G51" s="27"/>
      <c r="H51" s="27"/>
      <c r="I51" s="26"/>
      <c r="J51" s="51"/>
      <c r="K51" s="28"/>
      <c r="L51" s="188"/>
      <c r="M51" s="21">
        <v>0.21</v>
      </c>
      <c r="N51" s="29"/>
      <c r="O51" s="151"/>
      <c r="P51" s="39"/>
      <c r="Q51" s="30"/>
    </row>
    <row r="52" spans="1:18" s="2" customFormat="1" ht="47.4" customHeight="1" x14ac:dyDescent="0.3">
      <c r="A52" s="20">
        <v>49</v>
      </c>
      <c r="B52" s="46" t="s">
        <v>56</v>
      </c>
      <c r="C52" s="202" t="s">
        <v>707</v>
      </c>
      <c r="D52" s="34" t="s">
        <v>639</v>
      </c>
      <c r="E52" s="34" t="s">
        <v>643</v>
      </c>
      <c r="F52" s="48">
        <f>60+642</f>
        <v>702</v>
      </c>
      <c r="G52" s="27"/>
      <c r="H52" s="27"/>
      <c r="I52" s="26"/>
      <c r="J52" s="51"/>
      <c r="K52" s="28"/>
      <c r="L52" s="188"/>
      <c r="M52" s="21">
        <v>0.21</v>
      </c>
      <c r="N52" s="29"/>
      <c r="O52" s="151"/>
      <c r="P52" s="39"/>
      <c r="Q52" s="30"/>
    </row>
    <row r="53" spans="1:18" s="2" customFormat="1" ht="41.4" customHeight="1" x14ac:dyDescent="0.3">
      <c r="A53" s="20">
        <v>50</v>
      </c>
      <c r="B53" s="46" t="s">
        <v>57</v>
      </c>
      <c r="C53" s="205" t="s">
        <v>252</v>
      </c>
      <c r="D53" s="34" t="s">
        <v>639</v>
      </c>
      <c r="E53" s="34" t="s">
        <v>643</v>
      </c>
      <c r="F53" s="48">
        <f>60+189</f>
        <v>249</v>
      </c>
      <c r="G53" s="27"/>
      <c r="H53" s="27"/>
      <c r="I53" s="26"/>
      <c r="J53" s="51"/>
      <c r="K53" s="28"/>
      <c r="L53" s="188"/>
      <c r="M53" s="21">
        <v>0.21</v>
      </c>
      <c r="N53" s="29"/>
      <c r="O53" s="151"/>
      <c r="P53" s="39"/>
      <c r="Q53" s="30"/>
    </row>
    <row r="54" spans="1:18" s="2" customFormat="1" ht="74.400000000000006" customHeight="1" x14ac:dyDescent="0.3">
      <c r="A54" s="20">
        <v>51</v>
      </c>
      <c r="B54" s="46" t="s">
        <v>58</v>
      </c>
      <c r="C54" s="205" t="s">
        <v>254</v>
      </c>
      <c r="D54" s="34" t="s">
        <v>639</v>
      </c>
      <c r="E54" s="34" t="s">
        <v>643</v>
      </c>
      <c r="F54" s="48">
        <f>400+1775</f>
        <v>2175</v>
      </c>
      <c r="G54" s="27"/>
      <c r="H54" s="27"/>
      <c r="I54" s="26"/>
      <c r="J54" s="51"/>
      <c r="K54" s="28"/>
      <c r="L54" s="188"/>
      <c r="M54" s="21">
        <v>0.21</v>
      </c>
      <c r="N54" s="29"/>
      <c r="O54" s="151"/>
      <c r="P54" s="39"/>
      <c r="Q54" s="30"/>
    </row>
    <row r="55" spans="1:18" s="2" customFormat="1" ht="42.6" customHeight="1" x14ac:dyDescent="0.3">
      <c r="A55" s="20">
        <v>52</v>
      </c>
      <c r="B55" s="46" t="s">
        <v>59</v>
      </c>
      <c r="C55" s="202" t="s">
        <v>256</v>
      </c>
      <c r="D55" s="34" t="s">
        <v>639</v>
      </c>
      <c r="E55" s="34" t="s">
        <v>643</v>
      </c>
      <c r="F55" s="48">
        <f>100+1554</f>
        <v>1654</v>
      </c>
      <c r="G55" s="27"/>
      <c r="H55" s="27"/>
      <c r="I55" s="26"/>
      <c r="J55" s="51"/>
      <c r="K55" s="28"/>
      <c r="L55" s="188"/>
      <c r="M55" s="21">
        <v>0.21</v>
      </c>
      <c r="N55" s="29"/>
      <c r="O55" s="151"/>
      <c r="P55" s="58" t="s">
        <v>654</v>
      </c>
      <c r="Q55" s="30"/>
    </row>
    <row r="56" spans="1:18" s="2" customFormat="1" ht="55.2" customHeight="1" x14ac:dyDescent="0.3">
      <c r="A56" s="20">
        <v>53</v>
      </c>
      <c r="B56" s="46" t="s">
        <v>60</v>
      </c>
      <c r="C56" s="202" t="s">
        <v>258</v>
      </c>
      <c r="D56" s="34" t="s">
        <v>639</v>
      </c>
      <c r="E56" s="34" t="s">
        <v>643</v>
      </c>
      <c r="F56" s="48">
        <f>60+1254</f>
        <v>1314</v>
      </c>
      <c r="G56" s="27"/>
      <c r="H56" s="27"/>
      <c r="I56" s="26"/>
      <c r="J56" s="51"/>
      <c r="K56" s="28"/>
      <c r="L56" s="188"/>
      <c r="M56" s="21">
        <v>0.21</v>
      </c>
      <c r="N56" s="29"/>
      <c r="O56" s="151"/>
      <c r="P56" s="58" t="s">
        <v>654</v>
      </c>
      <c r="Q56" s="30"/>
    </row>
    <row r="57" spans="1:18" s="2" customFormat="1" ht="28.2" customHeight="1" x14ac:dyDescent="0.3">
      <c r="A57" s="20">
        <v>54</v>
      </c>
      <c r="B57" s="46" t="s">
        <v>61</v>
      </c>
      <c r="C57" s="202" t="s">
        <v>260</v>
      </c>
      <c r="D57" s="34" t="s">
        <v>639</v>
      </c>
      <c r="E57" s="34" t="s">
        <v>643</v>
      </c>
      <c r="F57" s="48">
        <f>60+184</f>
        <v>244</v>
      </c>
      <c r="G57" s="27"/>
      <c r="H57" s="27"/>
      <c r="I57" s="26"/>
      <c r="J57" s="51"/>
      <c r="K57" s="28"/>
      <c r="L57" s="188"/>
      <c r="M57" s="21">
        <v>0.21</v>
      </c>
      <c r="N57" s="29"/>
      <c r="O57" s="151"/>
      <c r="P57" s="39"/>
      <c r="Q57" s="30"/>
    </row>
    <row r="58" spans="1:18" s="2" customFormat="1" ht="31.8" customHeight="1" x14ac:dyDescent="0.3">
      <c r="A58" s="20">
        <v>55</v>
      </c>
      <c r="B58" s="46" t="s">
        <v>62</v>
      </c>
      <c r="C58" s="202" t="s">
        <v>262</v>
      </c>
      <c r="D58" s="34" t="s">
        <v>639</v>
      </c>
      <c r="E58" s="34" t="s">
        <v>643</v>
      </c>
      <c r="F58" s="48">
        <f>30+0</f>
        <v>30</v>
      </c>
      <c r="G58" s="27"/>
      <c r="H58" s="27"/>
      <c r="I58" s="26"/>
      <c r="J58" s="51"/>
      <c r="K58" s="28"/>
      <c r="L58" s="188"/>
      <c r="M58" s="21">
        <v>0.21</v>
      </c>
      <c r="N58" s="29"/>
      <c r="O58" s="151"/>
      <c r="P58" s="39"/>
      <c r="Q58" s="30"/>
    </row>
    <row r="59" spans="1:18" s="2" customFormat="1" ht="28.8" x14ac:dyDescent="0.3">
      <c r="A59" s="20">
        <v>56</v>
      </c>
      <c r="B59" s="46" t="s">
        <v>63</v>
      </c>
      <c r="C59" s="202" t="s">
        <v>709</v>
      </c>
      <c r="D59" s="34" t="s">
        <v>639</v>
      </c>
      <c r="E59" s="34" t="s">
        <v>643</v>
      </c>
      <c r="F59" s="48">
        <f>100+418</f>
        <v>518</v>
      </c>
      <c r="G59" s="27"/>
      <c r="H59" s="27"/>
      <c r="I59" s="26"/>
      <c r="J59" s="51"/>
      <c r="K59" s="28"/>
      <c r="L59" s="188"/>
      <c r="M59" s="21">
        <v>0.21</v>
      </c>
      <c r="N59" s="29"/>
      <c r="O59" s="151"/>
      <c r="P59" s="58" t="s">
        <v>655</v>
      </c>
      <c r="Q59" s="30"/>
    </row>
    <row r="60" spans="1:18" s="2" customFormat="1" ht="28.8" x14ac:dyDescent="0.3">
      <c r="A60" s="20">
        <v>57</v>
      </c>
      <c r="B60" s="46" t="s">
        <v>64</v>
      </c>
      <c r="C60" s="202" t="s">
        <v>710</v>
      </c>
      <c r="D60" s="34" t="s">
        <v>639</v>
      </c>
      <c r="E60" s="34" t="s">
        <v>643</v>
      </c>
      <c r="F60" s="48">
        <f>100+68</f>
        <v>168</v>
      </c>
      <c r="G60" s="27"/>
      <c r="H60" s="27"/>
      <c r="I60" s="26"/>
      <c r="J60" s="51"/>
      <c r="K60" s="28"/>
      <c r="L60" s="188"/>
      <c r="M60" s="21">
        <v>0.21</v>
      </c>
      <c r="N60" s="29"/>
      <c r="O60" s="151"/>
      <c r="P60" s="58" t="s">
        <v>655</v>
      </c>
      <c r="Q60" s="30"/>
      <c r="R60" s="20">
        <v>135142</v>
      </c>
    </row>
    <row r="61" spans="1:18" s="2" customFormat="1" ht="28.8" x14ac:dyDescent="0.3">
      <c r="A61" s="20">
        <v>58</v>
      </c>
      <c r="B61" s="46" t="s">
        <v>65</v>
      </c>
      <c r="C61" s="202" t="s">
        <v>711</v>
      </c>
      <c r="D61" s="34" t="s">
        <v>639</v>
      </c>
      <c r="E61" s="34" t="s">
        <v>643</v>
      </c>
      <c r="F61" s="48">
        <f>100+148</f>
        <v>248</v>
      </c>
      <c r="G61" s="27"/>
      <c r="H61" s="27"/>
      <c r="I61" s="26"/>
      <c r="J61" s="51"/>
      <c r="K61" s="28"/>
      <c r="L61" s="188"/>
      <c r="M61" s="21">
        <v>0.21</v>
      </c>
      <c r="N61" s="29"/>
      <c r="O61" s="151"/>
      <c r="P61" s="58" t="s">
        <v>655</v>
      </c>
      <c r="Q61" s="30"/>
      <c r="R61" s="20">
        <v>135153</v>
      </c>
    </row>
    <row r="62" spans="1:18" s="2" customFormat="1" ht="28.8" x14ac:dyDescent="0.3">
      <c r="A62" s="20">
        <v>59</v>
      </c>
      <c r="B62" s="46" t="s">
        <v>66</v>
      </c>
      <c r="C62" s="202" t="s">
        <v>712</v>
      </c>
      <c r="D62" s="34" t="s">
        <v>639</v>
      </c>
      <c r="E62" s="34" t="s">
        <v>643</v>
      </c>
      <c r="F62" s="48">
        <f>10+0</f>
        <v>10</v>
      </c>
      <c r="G62" s="27"/>
      <c r="H62" s="27"/>
      <c r="I62" s="26"/>
      <c r="J62" s="51"/>
      <c r="K62" s="28"/>
      <c r="L62" s="188"/>
      <c r="M62" s="21">
        <v>0.21</v>
      </c>
      <c r="N62" s="29"/>
      <c r="O62" s="151"/>
      <c r="P62" s="58" t="s">
        <v>655</v>
      </c>
      <c r="Q62" s="30"/>
      <c r="R62" s="20">
        <v>134489</v>
      </c>
    </row>
    <row r="63" spans="1:18" s="2" customFormat="1" ht="31.2" customHeight="1" x14ac:dyDescent="0.3">
      <c r="A63" s="20">
        <v>60</v>
      </c>
      <c r="B63" s="46" t="s">
        <v>67</v>
      </c>
      <c r="C63" s="202" t="s">
        <v>264</v>
      </c>
      <c r="D63" s="34" t="s">
        <v>639</v>
      </c>
      <c r="E63" s="34" t="s">
        <v>643</v>
      </c>
      <c r="F63" s="48">
        <f>200+2547</f>
        <v>2747</v>
      </c>
      <c r="G63" s="27"/>
      <c r="H63" s="27"/>
      <c r="I63" s="26"/>
      <c r="J63" s="51"/>
      <c r="K63" s="28"/>
      <c r="L63" s="188"/>
      <c r="M63" s="21">
        <v>0.21</v>
      </c>
      <c r="N63" s="29"/>
      <c r="O63" s="151"/>
      <c r="P63" s="39"/>
      <c r="Q63" s="30"/>
      <c r="R63" s="20"/>
    </row>
    <row r="64" spans="1:18" s="2" customFormat="1" ht="28.8" x14ac:dyDescent="0.3">
      <c r="A64" s="22">
        <v>61</v>
      </c>
      <c r="B64" s="60" t="s">
        <v>68</v>
      </c>
      <c r="C64" s="206" t="s">
        <v>266</v>
      </c>
      <c r="D64" s="34" t="s">
        <v>639</v>
      </c>
      <c r="E64" s="34" t="s">
        <v>643</v>
      </c>
      <c r="F64" s="48">
        <f>200+56</f>
        <v>256</v>
      </c>
      <c r="G64" s="27"/>
      <c r="H64" s="27"/>
      <c r="I64" s="26"/>
      <c r="J64" s="51"/>
      <c r="K64" s="28"/>
      <c r="L64" s="188"/>
      <c r="M64" s="21">
        <v>0.21</v>
      </c>
      <c r="N64" s="29"/>
      <c r="O64" s="151"/>
      <c r="P64" s="58" t="s">
        <v>653</v>
      </c>
      <c r="Q64" s="171"/>
      <c r="R64" s="20">
        <v>4163464</v>
      </c>
    </row>
    <row r="65" spans="1:18" s="2" customFormat="1" ht="37.200000000000003" customHeight="1" x14ac:dyDescent="0.3">
      <c r="A65" s="22">
        <v>62</v>
      </c>
      <c r="B65" s="46" t="s">
        <v>69</v>
      </c>
      <c r="C65" s="206" t="s">
        <v>268</v>
      </c>
      <c r="D65" s="34" t="s">
        <v>639</v>
      </c>
      <c r="E65" s="34" t="s">
        <v>643</v>
      </c>
      <c r="F65" s="48">
        <f>600+661</f>
        <v>1261</v>
      </c>
      <c r="G65" s="27"/>
      <c r="H65" s="27"/>
      <c r="I65" s="26"/>
      <c r="J65" s="51"/>
      <c r="K65" s="28"/>
      <c r="L65" s="188"/>
      <c r="M65" s="21">
        <v>0.21</v>
      </c>
      <c r="N65" s="29"/>
      <c r="O65" s="151"/>
      <c r="P65" s="58" t="s">
        <v>643</v>
      </c>
      <c r="Q65" s="30"/>
      <c r="R65" s="20">
        <v>5018777</v>
      </c>
    </row>
    <row r="66" spans="1:18" s="2" customFormat="1" ht="57.6" customHeight="1" x14ac:dyDescent="0.3">
      <c r="A66" s="20">
        <v>63</v>
      </c>
      <c r="B66" s="46" t="s">
        <v>70</v>
      </c>
      <c r="C66" s="202" t="s">
        <v>713</v>
      </c>
      <c r="D66" s="34" t="s">
        <v>639</v>
      </c>
      <c r="E66" s="34" t="s">
        <v>643</v>
      </c>
      <c r="F66" s="48">
        <f>30+78</f>
        <v>108</v>
      </c>
      <c r="G66" s="27"/>
      <c r="H66" s="27"/>
      <c r="I66" s="26"/>
      <c r="J66" s="51"/>
      <c r="K66" s="28"/>
      <c r="L66" s="188"/>
      <c r="M66" s="21">
        <v>0.21</v>
      </c>
      <c r="N66" s="29"/>
      <c r="O66" s="151"/>
      <c r="P66" s="39"/>
      <c r="Q66" s="30"/>
      <c r="R66" s="20"/>
    </row>
    <row r="67" spans="1:18" s="25" customFormat="1" ht="42.6" customHeight="1" x14ac:dyDescent="0.3">
      <c r="A67" s="20">
        <v>64</v>
      </c>
      <c r="B67" s="46" t="s">
        <v>71</v>
      </c>
      <c r="C67" s="202" t="s">
        <v>714</v>
      </c>
      <c r="D67" s="34" t="s">
        <v>639</v>
      </c>
      <c r="E67" s="34" t="s">
        <v>643</v>
      </c>
      <c r="F67" s="48">
        <f>10+25</f>
        <v>35</v>
      </c>
      <c r="G67" s="22"/>
      <c r="H67" s="22"/>
      <c r="I67" s="22"/>
      <c r="J67" s="51"/>
      <c r="K67" s="22"/>
      <c r="L67" s="188"/>
      <c r="M67" s="21">
        <v>0.21</v>
      </c>
      <c r="N67" s="22"/>
      <c r="O67" s="152"/>
      <c r="P67" s="41"/>
      <c r="Q67" s="22"/>
      <c r="R67" s="20">
        <v>4565769</v>
      </c>
    </row>
    <row r="68" spans="1:18" ht="32.4" customHeight="1" x14ac:dyDescent="0.3">
      <c r="A68" s="20">
        <v>65</v>
      </c>
      <c r="B68" s="46" t="s">
        <v>72</v>
      </c>
      <c r="C68" s="202" t="s">
        <v>264</v>
      </c>
      <c r="D68" s="34" t="s">
        <v>639</v>
      </c>
      <c r="E68" s="34" t="s">
        <v>643</v>
      </c>
      <c r="F68" s="48">
        <f>200+6773</f>
        <v>6973</v>
      </c>
      <c r="G68" s="20"/>
      <c r="H68" s="20"/>
      <c r="I68" s="20"/>
      <c r="J68" s="51"/>
      <c r="K68" s="22"/>
      <c r="L68" s="188"/>
      <c r="M68" s="21">
        <v>0.21</v>
      </c>
      <c r="N68" s="20"/>
      <c r="O68" s="48"/>
      <c r="P68" s="40"/>
      <c r="Q68" s="20"/>
      <c r="R68" s="20"/>
    </row>
    <row r="69" spans="1:18" s="59" customFormat="1" ht="32.4" customHeight="1" x14ac:dyDescent="0.3">
      <c r="A69" s="22">
        <v>66</v>
      </c>
      <c r="B69" s="46" t="s">
        <v>73</v>
      </c>
      <c r="C69" s="202" t="s">
        <v>270</v>
      </c>
      <c r="D69" s="34" t="s">
        <v>639</v>
      </c>
      <c r="E69" s="34" t="s">
        <v>643</v>
      </c>
      <c r="F69" s="48">
        <f>10+0</f>
        <v>10</v>
      </c>
      <c r="G69" s="20"/>
      <c r="H69" s="20"/>
      <c r="I69" s="20"/>
      <c r="J69" s="51"/>
      <c r="K69" s="22"/>
      <c r="L69" s="188"/>
      <c r="M69" s="21">
        <v>0.21</v>
      </c>
      <c r="N69" s="20"/>
      <c r="O69" s="48"/>
      <c r="P69" s="62" t="s">
        <v>654</v>
      </c>
      <c r="Q69" s="170"/>
      <c r="R69" s="20">
        <v>123538</v>
      </c>
    </row>
    <row r="70" spans="1:18" s="59" customFormat="1" ht="29.4" thickBot="1" x14ac:dyDescent="0.35">
      <c r="A70" s="67">
        <v>67</v>
      </c>
      <c r="B70" s="68" t="s">
        <v>106</v>
      </c>
      <c r="C70" s="203" t="s">
        <v>272</v>
      </c>
      <c r="D70" s="34" t="s">
        <v>639</v>
      </c>
      <c r="E70" s="34" t="s">
        <v>643</v>
      </c>
      <c r="F70" s="69">
        <f>60+353</f>
        <v>413</v>
      </c>
      <c r="G70" s="70"/>
      <c r="H70" s="70"/>
      <c r="I70" s="71"/>
      <c r="J70" s="72"/>
      <c r="K70" s="73"/>
      <c r="L70" s="74"/>
      <c r="M70" s="75">
        <v>0.21</v>
      </c>
      <c r="N70" s="76"/>
      <c r="O70" s="95"/>
      <c r="P70" s="77" t="s">
        <v>654</v>
      </c>
      <c r="Q70" s="78"/>
      <c r="R70" s="20">
        <v>2797299</v>
      </c>
    </row>
    <row r="71" spans="1:18" s="2" customFormat="1" ht="10.8" thickBot="1" x14ac:dyDescent="0.25">
      <c r="A71" s="82"/>
      <c r="B71" s="83"/>
      <c r="C71" s="195" t="s">
        <v>305</v>
      </c>
      <c r="D71" s="193"/>
      <c r="E71" s="83"/>
      <c r="F71" s="83"/>
      <c r="G71" s="85"/>
      <c r="H71" s="85"/>
      <c r="I71" s="83"/>
      <c r="J71" s="86"/>
      <c r="K71" s="87"/>
      <c r="L71" s="86"/>
      <c r="M71" s="88"/>
      <c r="N71" s="89"/>
      <c r="O71" s="89"/>
      <c r="P71" s="90"/>
      <c r="Q71" s="84"/>
    </row>
    <row r="72" spans="1:18" s="59" customFormat="1" ht="42" customHeight="1" x14ac:dyDescent="0.3">
      <c r="A72" s="34">
        <v>68</v>
      </c>
      <c r="B72" s="79" t="s">
        <v>74</v>
      </c>
      <c r="C72" s="204" t="s">
        <v>274</v>
      </c>
      <c r="D72" s="34" t="s">
        <v>639</v>
      </c>
      <c r="E72" s="34" t="s">
        <v>643</v>
      </c>
      <c r="F72" s="34">
        <f>200+312</f>
        <v>512</v>
      </c>
      <c r="G72" s="34"/>
      <c r="H72" s="34"/>
      <c r="I72" s="34"/>
      <c r="J72" s="80"/>
      <c r="K72" s="141"/>
      <c r="L72" s="187"/>
      <c r="M72" s="36">
        <v>0.21</v>
      </c>
      <c r="N72" s="34"/>
      <c r="O72" s="34"/>
      <c r="P72" s="81"/>
      <c r="Q72" s="34"/>
    </row>
    <row r="73" spans="1:18" ht="36" customHeight="1" x14ac:dyDescent="0.3">
      <c r="A73" s="20">
        <v>69</v>
      </c>
      <c r="B73" s="46" t="s">
        <v>75</v>
      </c>
      <c r="C73" s="202" t="s">
        <v>715</v>
      </c>
      <c r="D73" s="34" t="s">
        <v>639</v>
      </c>
      <c r="E73" s="48" t="s">
        <v>643</v>
      </c>
      <c r="F73" s="48">
        <f>300+3501</f>
        <v>3801</v>
      </c>
      <c r="G73" s="20"/>
      <c r="H73" s="20"/>
      <c r="I73" s="20"/>
      <c r="J73" s="53"/>
      <c r="K73" s="22"/>
      <c r="L73" s="188"/>
      <c r="M73" s="21">
        <v>0.21</v>
      </c>
      <c r="N73" s="20"/>
      <c r="O73" s="48"/>
      <c r="P73" s="40"/>
      <c r="Q73" s="20"/>
    </row>
    <row r="74" spans="1:18" ht="41.4" customHeight="1" x14ac:dyDescent="0.3">
      <c r="A74" s="20">
        <v>70</v>
      </c>
      <c r="B74" s="46" t="s">
        <v>76</v>
      </c>
      <c r="C74" s="202" t="s">
        <v>716</v>
      </c>
      <c r="D74" s="34" t="s">
        <v>639</v>
      </c>
      <c r="E74" s="48" t="s">
        <v>643</v>
      </c>
      <c r="F74" s="48">
        <f>300+3850</f>
        <v>4150</v>
      </c>
      <c r="G74" s="20"/>
      <c r="H74" s="20"/>
      <c r="I74" s="20"/>
      <c r="J74" s="51"/>
      <c r="K74" s="22"/>
      <c r="L74" s="188"/>
      <c r="M74" s="21">
        <v>0.21</v>
      </c>
      <c r="N74" s="20"/>
      <c r="O74" s="48"/>
      <c r="P74" s="40"/>
      <c r="Q74" s="20"/>
    </row>
    <row r="75" spans="1:18" ht="56.4" customHeight="1" x14ac:dyDescent="0.3">
      <c r="A75" s="20">
        <v>71</v>
      </c>
      <c r="B75" s="46" t="s">
        <v>77</v>
      </c>
      <c r="C75" s="202" t="s">
        <v>717</v>
      </c>
      <c r="D75" s="34" t="s">
        <v>639</v>
      </c>
      <c r="E75" s="48" t="s">
        <v>643</v>
      </c>
      <c r="F75" s="48">
        <f>200+3367</f>
        <v>3567</v>
      </c>
      <c r="G75" s="20"/>
      <c r="H75" s="20"/>
      <c r="I75" s="20"/>
      <c r="J75" s="53"/>
      <c r="K75" s="22"/>
      <c r="L75" s="188"/>
      <c r="M75" s="21">
        <v>0.21</v>
      </c>
      <c r="N75" s="20"/>
      <c r="O75" s="48"/>
      <c r="P75" s="40"/>
      <c r="Q75" s="20"/>
    </row>
    <row r="76" spans="1:18" ht="40.200000000000003" customHeight="1" x14ac:dyDescent="0.3">
      <c r="A76" s="20">
        <v>72</v>
      </c>
      <c r="B76" s="46" t="s">
        <v>78</v>
      </c>
      <c r="C76" s="202" t="s">
        <v>718</v>
      </c>
      <c r="D76" s="34" t="s">
        <v>639</v>
      </c>
      <c r="E76" s="48" t="s">
        <v>643</v>
      </c>
      <c r="F76" s="48">
        <f>200+3303</f>
        <v>3503</v>
      </c>
      <c r="G76" s="20"/>
      <c r="H76" s="20"/>
      <c r="I76" s="20"/>
      <c r="J76" s="51"/>
      <c r="K76" s="22"/>
      <c r="L76" s="188"/>
      <c r="M76" s="21">
        <v>0.21</v>
      </c>
      <c r="N76" s="20"/>
      <c r="O76" s="48"/>
      <c r="P76" s="40"/>
      <c r="Q76" s="20"/>
    </row>
    <row r="77" spans="1:18" ht="40.200000000000003" customHeight="1" x14ac:dyDescent="0.3">
      <c r="A77" s="20">
        <v>73</v>
      </c>
      <c r="B77" s="46" t="s">
        <v>79</v>
      </c>
      <c r="C77" s="202" t="s">
        <v>719</v>
      </c>
      <c r="D77" s="34" t="s">
        <v>639</v>
      </c>
      <c r="E77" s="48" t="s">
        <v>643</v>
      </c>
      <c r="F77" s="48">
        <f>200+1995</f>
        <v>2195</v>
      </c>
      <c r="G77" s="20"/>
      <c r="H77" s="20"/>
      <c r="I77" s="20"/>
      <c r="J77" s="53"/>
      <c r="K77" s="22"/>
      <c r="L77" s="188"/>
      <c r="M77" s="21">
        <v>0.21</v>
      </c>
      <c r="N77" s="20"/>
      <c r="O77" s="48"/>
      <c r="P77" s="40"/>
      <c r="Q77" s="20"/>
    </row>
    <row r="78" spans="1:18" ht="39" customHeight="1" x14ac:dyDescent="0.3">
      <c r="A78" s="20">
        <v>74</v>
      </c>
      <c r="B78" s="46" t="s">
        <v>80</v>
      </c>
      <c r="C78" s="202" t="s">
        <v>720</v>
      </c>
      <c r="D78" s="34" t="s">
        <v>639</v>
      </c>
      <c r="E78" s="48" t="s">
        <v>643</v>
      </c>
      <c r="F78" s="48">
        <f>400+3605</f>
        <v>4005</v>
      </c>
      <c r="G78" s="20"/>
      <c r="H78" s="20"/>
      <c r="I78" s="20"/>
      <c r="J78" s="51"/>
      <c r="K78" s="22"/>
      <c r="L78" s="188"/>
      <c r="M78" s="21">
        <v>0.21</v>
      </c>
      <c r="N78" s="20"/>
      <c r="O78" s="48"/>
      <c r="P78" s="40"/>
      <c r="Q78" s="20"/>
    </row>
    <row r="79" spans="1:18" ht="60.6" customHeight="1" x14ac:dyDescent="0.3">
      <c r="A79" s="20">
        <v>75</v>
      </c>
      <c r="B79" s="46" t="s">
        <v>81</v>
      </c>
      <c r="C79" s="202" t="s">
        <v>721</v>
      </c>
      <c r="D79" s="34" t="s">
        <v>639</v>
      </c>
      <c r="E79" s="48" t="s">
        <v>643</v>
      </c>
      <c r="F79" s="48">
        <f>200+1797</f>
        <v>1997</v>
      </c>
      <c r="G79" s="20"/>
      <c r="H79" s="20"/>
      <c r="I79" s="20"/>
      <c r="J79" s="53"/>
      <c r="K79" s="22"/>
      <c r="L79" s="188"/>
      <c r="M79" s="21">
        <v>0.21</v>
      </c>
      <c r="N79" s="20"/>
      <c r="O79" s="48"/>
      <c r="P79" s="40"/>
      <c r="Q79" s="20"/>
    </row>
    <row r="80" spans="1:18" ht="30" customHeight="1" x14ac:dyDescent="0.3">
      <c r="A80" s="20">
        <v>76</v>
      </c>
      <c r="B80" s="46" t="s">
        <v>82</v>
      </c>
      <c r="C80" s="202" t="s">
        <v>722</v>
      </c>
      <c r="D80" s="34" t="s">
        <v>639</v>
      </c>
      <c r="E80" s="48" t="s">
        <v>643</v>
      </c>
      <c r="F80" s="48">
        <f>200+0</f>
        <v>200</v>
      </c>
      <c r="G80" s="20"/>
      <c r="H80" s="20"/>
      <c r="I80" s="20"/>
      <c r="J80" s="51"/>
      <c r="K80" s="22"/>
      <c r="L80" s="188"/>
      <c r="M80" s="21">
        <v>0.21</v>
      </c>
      <c r="N80" s="20"/>
      <c r="O80" s="48"/>
      <c r="P80" s="40"/>
      <c r="Q80" s="20"/>
    </row>
    <row r="81" spans="1:18" ht="28.2" customHeight="1" x14ac:dyDescent="0.3">
      <c r="A81" s="20">
        <v>77</v>
      </c>
      <c r="B81" s="46" t="s">
        <v>83</v>
      </c>
      <c r="C81" s="202" t="s">
        <v>276</v>
      </c>
      <c r="D81" s="34" t="s">
        <v>639</v>
      </c>
      <c r="E81" s="48" t="s">
        <v>643</v>
      </c>
      <c r="F81" s="48">
        <f>100+967</f>
        <v>1067</v>
      </c>
      <c r="G81" s="20"/>
      <c r="H81" s="20"/>
      <c r="I81" s="20"/>
      <c r="J81" s="53"/>
      <c r="K81" s="22"/>
      <c r="L81" s="188"/>
      <c r="M81" s="21">
        <v>0.21</v>
      </c>
      <c r="N81" s="20"/>
      <c r="O81" s="48"/>
      <c r="P81" s="40"/>
      <c r="Q81" s="20"/>
    </row>
    <row r="82" spans="1:18" ht="28.2" customHeight="1" x14ac:dyDescent="0.3">
      <c r="A82" s="20">
        <v>78</v>
      </c>
      <c r="B82" s="46" t="s">
        <v>84</v>
      </c>
      <c r="C82" s="202" t="s">
        <v>278</v>
      </c>
      <c r="D82" s="34" t="s">
        <v>639</v>
      </c>
      <c r="E82" s="48" t="s">
        <v>643</v>
      </c>
      <c r="F82" s="48">
        <f>100+306</f>
        <v>406</v>
      </c>
      <c r="G82" s="20"/>
      <c r="H82" s="20"/>
      <c r="I82" s="20"/>
      <c r="J82" s="51"/>
      <c r="K82" s="22"/>
      <c r="L82" s="188"/>
      <c r="M82" s="21">
        <v>0.21</v>
      </c>
      <c r="N82" s="20"/>
      <c r="O82" s="48"/>
      <c r="P82" s="40"/>
      <c r="Q82" s="20"/>
    </row>
    <row r="83" spans="1:18" ht="36.6" customHeight="1" x14ac:dyDescent="0.3">
      <c r="A83" s="20">
        <v>79</v>
      </c>
      <c r="B83" s="46" t="s">
        <v>85</v>
      </c>
      <c r="C83" s="202" t="s">
        <v>723</v>
      </c>
      <c r="D83" s="34" t="s">
        <v>639</v>
      </c>
      <c r="E83" s="48" t="s">
        <v>643</v>
      </c>
      <c r="F83" s="48">
        <f>5000+2352</f>
        <v>7352</v>
      </c>
      <c r="G83" s="20"/>
      <c r="H83" s="20"/>
      <c r="I83" s="20"/>
      <c r="J83" s="53"/>
      <c r="K83" s="22"/>
      <c r="L83" s="188"/>
      <c r="M83" s="21">
        <v>0.21</v>
      </c>
      <c r="N83" s="20"/>
      <c r="O83" s="48"/>
      <c r="P83" s="40"/>
      <c r="Q83" s="20"/>
    </row>
    <row r="84" spans="1:18" ht="48" customHeight="1" x14ac:dyDescent="0.3">
      <c r="A84" s="20">
        <v>80</v>
      </c>
      <c r="B84" s="46" t="s">
        <v>86</v>
      </c>
      <c r="C84" s="202" t="s">
        <v>724</v>
      </c>
      <c r="D84" s="34" t="s">
        <v>639</v>
      </c>
      <c r="E84" s="48" t="s">
        <v>643</v>
      </c>
      <c r="F84" s="48">
        <f>3000+13258</f>
        <v>16258</v>
      </c>
      <c r="G84" s="20"/>
      <c r="H84" s="20"/>
      <c r="I84" s="20"/>
      <c r="J84" s="51"/>
      <c r="K84" s="22"/>
      <c r="L84" s="188"/>
      <c r="M84" s="21">
        <v>0.21</v>
      </c>
      <c r="N84" s="20"/>
      <c r="O84" s="48"/>
      <c r="P84" s="40"/>
      <c r="Q84" s="20"/>
    </row>
    <row r="85" spans="1:18" ht="47.4" customHeight="1" x14ac:dyDescent="0.3">
      <c r="A85" s="20">
        <v>81</v>
      </c>
      <c r="B85" s="46" t="s">
        <v>87</v>
      </c>
      <c r="C85" s="202" t="s">
        <v>280</v>
      </c>
      <c r="D85" s="34" t="s">
        <v>639</v>
      </c>
      <c r="E85" s="48" t="s">
        <v>643</v>
      </c>
      <c r="F85" s="48">
        <f>1000+8265</f>
        <v>9265</v>
      </c>
      <c r="G85" s="20"/>
      <c r="H85" s="20"/>
      <c r="I85" s="20"/>
      <c r="J85" s="53"/>
      <c r="K85" s="22"/>
      <c r="L85" s="188"/>
      <c r="M85" s="21">
        <v>0.21</v>
      </c>
      <c r="N85" s="20"/>
      <c r="O85" s="48"/>
      <c r="P85" s="40"/>
      <c r="Q85" s="20"/>
    </row>
    <row r="86" spans="1:18" ht="40.200000000000003" customHeight="1" x14ac:dyDescent="0.3">
      <c r="A86" s="20">
        <v>82</v>
      </c>
      <c r="B86" s="46" t="s">
        <v>88</v>
      </c>
      <c r="C86" s="202" t="s">
        <v>725</v>
      </c>
      <c r="D86" s="34" t="s">
        <v>639</v>
      </c>
      <c r="E86" s="48" t="s">
        <v>643</v>
      </c>
      <c r="F86" s="48">
        <f>1000+5915</f>
        <v>6915</v>
      </c>
      <c r="G86" s="20"/>
      <c r="H86" s="20"/>
      <c r="I86" s="20"/>
      <c r="J86" s="51"/>
      <c r="K86" s="22"/>
      <c r="L86" s="188"/>
      <c r="M86" s="21">
        <v>0.21</v>
      </c>
      <c r="N86" s="20"/>
      <c r="O86" s="48"/>
      <c r="P86" s="40"/>
      <c r="Q86" s="20"/>
    </row>
    <row r="87" spans="1:18" ht="40.200000000000003" customHeight="1" x14ac:dyDescent="0.3">
      <c r="A87" s="20">
        <v>83</v>
      </c>
      <c r="B87" s="46" t="s">
        <v>89</v>
      </c>
      <c r="C87" s="202" t="s">
        <v>281</v>
      </c>
      <c r="D87" s="34" t="s">
        <v>639</v>
      </c>
      <c r="E87" s="48" t="s">
        <v>643</v>
      </c>
      <c r="F87" s="48">
        <f>500+394</f>
        <v>894</v>
      </c>
      <c r="G87" s="20"/>
      <c r="H87" s="20"/>
      <c r="I87" s="20"/>
      <c r="J87" s="53"/>
      <c r="K87" s="22"/>
      <c r="L87" s="188"/>
      <c r="M87" s="21">
        <v>0.21</v>
      </c>
      <c r="N87" s="20"/>
      <c r="O87" s="48"/>
      <c r="P87" s="40"/>
      <c r="Q87" s="20"/>
    </row>
    <row r="88" spans="1:18" ht="40.200000000000003" customHeight="1" x14ac:dyDescent="0.3">
      <c r="A88" s="20">
        <v>84</v>
      </c>
      <c r="B88" s="46" t="s">
        <v>90</v>
      </c>
      <c r="C88" s="202" t="s">
        <v>282</v>
      </c>
      <c r="D88" s="34" t="s">
        <v>639</v>
      </c>
      <c r="E88" s="48" t="s">
        <v>643</v>
      </c>
      <c r="F88" s="48">
        <f>500+343</f>
        <v>843</v>
      </c>
      <c r="G88" s="20"/>
      <c r="H88" s="20"/>
      <c r="I88" s="20"/>
      <c r="J88" s="53"/>
      <c r="K88" s="22"/>
      <c r="L88" s="188"/>
      <c r="M88" s="21">
        <v>0.21</v>
      </c>
      <c r="N88" s="20"/>
      <c r="O88" s="48"/>
      <c r="P88" s="40"/>
      <c r="Q88" s="20"/>
    </row>
    <row r="89" spans="1:18" ht="40.200000000000003" customHeight="1" x14ac:dyDescent="0.3">
      <c r="A89" s="20">
        <v>85</v>
      </c>
      <c r="B89" s="46" t="s">
        <v>91</v>
      </c>
      <c r="C89" s="202" t="s">
        <v>286</v>
      </c>
      <c r="D89" s="34" t="s">
        <v>639</v>
      </c>
      <c r="E89" s="48" t="s">
        <v>643</v>
      </c>
      <c r="F89" s="48">
        <f>500+367</f>
        <v>867</v>
      </c>
      <c r="G89" s="20"/>
      <c r="H89" s="20"/>
      <c r="I89" s="20"/>
      <c r="J89" s="53"/>
      <c r="K89" s="22"/>
      <c r="L89" s="188"/>
      <c r="M89" s="21">
        <v>0.21</v>
      </c>
      <c r="N89" s="20"/>
      <c r="O89" s="48"/>
      <c r="P89" s="40"/>
      <c r="Q89" s="20"/>
    </row>
    <row r="90" spans="1:18" ht="40.200000000000003" customHeight="1" x14ac:dyDescent="0.3">
      <c r="A90" s="20">
        <v>86</v>
      </c>
      <c r="B90" s="46" t="s">
        <v>92</v>
      </c>
      <c r="C90" s="202" t="s">
        <v>288</v>
      </c>
      <c r="D90" s="34" t="s">
        <v>639</v>
      </c>
      <c r="E90" s="48" t="s">
        <v>643</v>
      </c>
      <c r="F90" s="48">
        <f>500+342</f>
        <v>842</v>
      </c>
      <c r="G90" s="20"/>
      <c r="H90" s="20"/>
      <c r="I90" s="20"/>
      <c r="J90" s="53"/>
      <c r="K90" s="22"/>
      <c r="L90" s="188"/>
      <c r="M90" s="21">
        <v>0.21</v>
      </c>
      <c r="N90" s="20"/>
      <c r="O90" s="48"/>
      <c r="P90" s="40"/>
      <c r="Q90" s="20"/>
    </row>
    <row r="91" spans="1:18" ht="40.200000000000003" customHeight="1" x14ac:dyDescent="0.3">
      <c r="A91" s="20">
        <v>87</v>
      </c>
      <c r="B91" s="46" t="s">
        <v>93</v>
      </c>
      <c r="C91" s="202" t="s">
        <v>289</v>
      </c>
      <c r="D91" s="34" t="s">
        <v>639</v>
      </c>
      <c r="E91" s="48" t="s">
        <v>643</v>
      </c>
      <c r="F91" s="48">
        <f>200+622</f>
        <v>822</v>
      </c>
      <c r="G91" s="20"/>
      <c r="H91" s="20"/>
      <c r="I91" s="20"/>
      <c r="J91" s="53"/>
      <c r="K91" s="22"/>
      <c r="L91" s="188"/>
      <c r="M91" s="21">
        <v>0.21</v>
      </c>
      <c r="N91" s="20"/>
      <c r="O91" s="48"/>
      <c r="P91" s="40"/>
      <c r="Q91" s="20"/>
    </row>
    <row r="92" spans="1:18" ht="28.8" x14ac:dyDescent="0.3">
      <c r="A92" s="20">
        <v>88</v>
      </c>
      <c r="B92" s="46" t="s">
        <v>94</v>
      </c>
      <c r="C92" s="202" t="s">
        <v>291</v>
      </c>
      <c r="D92" s="34" t="s">
        <v>639</v>
      </c>
      <c r="E92" s="48" t="s">
        <v>643</v>
      </c>
      <c r="F92" s="48">
        <f>100+0</f>
        <v>100</v>
      </c>
      <c r="G92" s="20"/>
      <c r="H92" s="20"/>
      <c r="I92" s="20"/>
      <c r="J92" s="51"/>
      <c r="K92" s="22"/>
      <c r="L92" s="188"/>
      <c r="M92" s="21">
        <v>0.21</v>
      </c>
      <c r="N92" s="20"/>
      <c r="O92" s="48"/>
      <c r="P92" s="58" t="s">
        <v>658</v>
      </c>
      <c r="Q92" s="20"/>
    </row>
    <row r="93" spans="1:18" ht="28.8" x14ac:dyDescent="0.3">
      <c r="A93" s="20">
        <v>89</v>
      </c>
      <c r="B93" s="46" t="s">
        <v>95</v>
      </c>
      <c r="C93" s="202" t="s">
        <v>293</v>
      </c>
      <c r="D93" s="34" t="s">
        <v>639</v>
      </c>
      <c r="E93" s="48" t="s">
        <v>643</v>
      </c>
      <c r="F93" s="48">
        <f>100+0</f>
        <v>100</v>
      </c>
      <c r="G93" s="20"/>
      <c r="H93" s="20"/>
      <c r="I93" s="20"/>
      <c r="J93" s="53"/>
      <c r="K93" s="22"/>
      <c r="L93" s="188"/>
      <c r="M93" s="21">
        <v>0.21</v>
      </c>
      <c r="N93" s="20"/>
      <c r="O93" s="48"/>
      <c r="P93" s="58" t="s">
        <v>658</v>
      </c>
      <c r="Q93" s="20"/>
    </row>
    <row r="94" spans="1:18" ht="34.799999999999997" customHeight="1" x14ac:dyDescent="0.3">
      <c r="A94" s="20">
        <v>90</v>
      </c>
      <c r="B94" s="46" t="s">
        <v>96</v>
      </c>
      <c r="C94" s="202" t="s">
        <v>295</v>
      </c>
      <c r="D94" s="34" t="s">
        <v>639</v>
      </c>
      <c r="E94" s="48" t="s">
        <v>643</v>
      </c>
      <c r="F94" s="48">
        <f>20+616</f>
        <v>636</v>
      </c>
      <c r="G94" s="20"/>
      <c r="H94" s="20"/>
      <c r="I94" s="20"/>
      <c r="J94" s="51"/>
      <c r="K94" s="22"/>
      <c r="L94" s="188"/>
      <c r="M94" s="21">
        <v>0.21</v>
      </c>
      <c r="N94" s="20"/>
      <c r="O94" s="48"/>
      <c r="P94" s="40"/>
      <c r="Q94" s="20"/>
    </row>
    <row r="95" spans="1:18" ht="31.8" customHeight="1" x14ac:dyDescent="0.3">
      <c r="A95" s="20">
        <v>91</v>
      </c>
      <c r="B95" s="46" t="s">
        <v>97</v>
      </c>
      <c r="C95" s="202" t="s">
        <v>297</v>
      </c>
      <c r="D95" s="34" t="s">
        <v>639</v>
      </c>
      <c r="E95" s="48" t="s">
        <v>643</v>
      </c>
      <c r="F95" s="48">
        <f>20+0</f>
        <v>20</v>
      </c>
      <c r="G95" s="20"/>
      <c r="H95" s="20"/>
      <c r="I95" s="20"/>
      <c r="J95" s="53"/>
      <c r="K95" s="22"/>
      <c r="L95" s="188"/>
      <c r="M95" s="21">
        <v>0.21</v>
      </c>
      <c r="N95" s="20"/>
      <c r="O95" s="48"/>
      <c r="P95" s="40"/>
      <c r="Q95" s="20"/>
    </row>
    <row r="96" spans="1:18" ht="35.4" customHeight="1" x14ac:dyDescent="0.3">
      <c r="A96" s="20">
        <v>92</v>
      </c>
      <c r="B96" s="46" t="s">
        <v>98</v>
      </c>
      <c r="C96" s="202" t="s">
        <v>299</v>
      </c>
      <c r="D96" s="34" t="s">
        <v>639</v>
      </c>
      <c r="E96" s="48" t="s">
        <v>643</v>
      </c>
      <c r="F96" s="48">
        <f>40+80</f>
        <v>120</v>
      </c>
      <c r="G96" s="20"/>
      <c r="H96" s="20"/>
      <c r="I96" s="20"/>
      <c r="J96" s="53"/>
      <c r="K96" s="22"/>
      <c r="L96" s="188"/>
      <c r="M96" s="21">
        <v>0.21</v>
      </c>
      <c r="N96" s="20"/>
      <c r="O96" s="48"/>
      <c r="P96" s="40"/>
      <c r="Q96" s="20"/>
      <c r="R96" s="20">
        <v>148886</v>
      </c>
    </row>
    <row r="97" spans="1:18" ht="38.4" customHeight="1" thickBot="1" x14ac:dyDescent="0.35">
      <c r="A97" s="67">
        <v>93</v>
      </c>
      <c r="B97" s="68" t="s">
        <v>99</v>
      </c>
      <c r="C97" s="202" t="s">
        <v>301</v>
      </c>
      <c r="D97" s="34" t="s">
        <v>639</v>
      </c>
      <c r="E97" s="48" t="s">
        <v>643</v>
      </c>
      <c r="F97" s="67">
        <f>20+82</f>
        <v>102</v>
      </c>
      <c r="G97" s="67"/>
      <c r="H97" s="67"/>
      <c r="I97" s="67"/>
      <c r="J97" s="125"/>
      <c r="K97" s="69"/>
      <c r="L97" s="74"/>
      <c r="M97" s="94">
        <v>0.21</v>
      </c>
      <c r="N97" s="67"/>
      <c r="O97" s="67"/>
      <c r="P97" s="126"/>
      <c r="Q97" s="67"/>
      <c r="R97" s="20">
        <v>148897</v>
      </c>
    </row>
    <row r="98" spans="1:18" s="2" customFormat="1" ht="34.200000000000003" customHeight="1" thickBot="1" x14ac:dyDescent="0.25">
      <c r="A98" s="129"/>
      <c r="B98" s="130"/>
      <c r="C98" s="161" t="s">
        <v>307</v>
      </c>
      <c r="D98" s="130"/>
      <c r="E98" s="130"/>
      <c r="F98" s="130"/>
      <c r="G98" s="130"/>
      <c r="H98" s="130"/>
      <c r="I98" s="130"/>
      <c r="J98" s="130"/>
      <c r="K98" s="130"/>
      <c r="L98" s="130"/>
      <c r="M98" s="130"/>
      <c r="N98" s="130"/>
      <c r="O98" s="130"/>
      <c r="P98" s="130"/>
      <c r="Q98" s="130"/>
    </row>
    <row r="99" spans="1:18" s="2" customFormat="1" ht="50.4" customHeight="1" x14ac:dyDescent="0.3">
      <c r="A99" s="34">
        <v>94</v>
      </c>
      <c r="B99" s="79" t="s">
        <v>100</v>
      </c>
      <c r="C99" s="202" t="s">
        <v>309</v>
      </c>
      <c r="D99" s="34" t="s">
        <v>639</v>
      </c>
      <c r="E99" s="34" t="s">
        <v>643</v>
      </c>
      <c r="F99" s="34">
        <f>200+1455</f>
        <v>1655</v>
      </c>
      <c r="G99" s="97"/>
      <c r="H99" s="97"/>
      <c r="I99" s="98"/>
      <c r="J99" s="127"/>
      <c r="K99" s="99"/>
      <c r="L99" s="187"/>
      <c r="M99" s="36">
        <v>0.21</v>
      </c>
      <c r="N99" s="100"/>
      <c r="O99" s="100"/>
      <c r="P99" s="128"/>
      <c r="Q99" s="101"/>
    </row>
    <row r="100" spans="1:18" s="2" customFormat="1" ht="28.8" x14ac:dyDescent="0.3">
      <c r="A100" s="20">
        <v>95</v>
      </c>
      <c r="B100" s="46" t="s">
        <v>101</v>
      </c>
      <c r="C100" s="202" t="s">
        <v>311</v>
      </c>
      <c r="D100" s="34" t="s">
        <v>639</v>
      </c>
      <c r="E100" s="48" t="s">
        <v>643</v>
      </c>
      <c r="F100" s="48">
        <f>200+924</f>
        <v>1124</v>
      </c>
      <c r="G100" s="27"/>
      <c r="H100" s="27"/>
      <c r="I100" s="26"/>
      <c r="J100" s="53"/>
      <c r="K100" s="28"/>
      <c r="L100" s="188"/>
      <c r="M100" s="21">
        <v>0.21</v>
      </c>
      <c r="N100" s="29"/>
      <c r="O100" s="151"/>
      <c r="P100" s="58" t="s">
        <v>659</v>
      </c>
      <c r="Q100" s="30"/>
    </row>
    <row r="101" spans="1:18" s="2" customFormat="1" ht="20.399999999999999" x14ac:dyDescent="0.3">
      <c r="A101" s="20">
        <v>96</v>
      </c>
      <c r="B101" s="46" t="s">
        <v>102</v>
      </c>
      <c r="C101" s="202" t="s">
        <v>313</v>
      </c>
      <c r="D101" s="34" t="s">
        <v>639</v>
      </c>
      <c r="E101" s="48" t="s">
        <v>643</v>
      </c>
      <c r="F101" s="48">
        <f>12+163</f>
        <v>175</v>
      </c>
      <c r="G101" s="27"/>
      <c r="H101" s="27"/>
      <c r="I101" s="26"/>
      <c r="J101" s="53"/>
      <c r="K101" s="28"/>
      <c r="L101" s="188"/>
      <c r="M101" s="21">
        <v>0.21</v>
      </c>
      <c r="N101" s="29"/>
      <c r="O101" s="151"/>
      <c r="P101" s="39"/>
      <c r="Q101" s="30"/>
    </row>
    <row r="102" spans="1:18" s="2" customFormat="1" ht="28.8" x14ac:dyDescent="0.3">
      <c r="A102" s="20">
        <v>97</v>
      </c>
      <c r="B102" s="46" t="s">
        <v>103</v>
      </c>
      <c r="C102" s="202" t="s">
        <v>315</v>
      </c>
      <c r="D102" s="34" t="s">
        <v>639</v>
      </c>
      <c r="E102" s="48" t="s">
        <v>643</v>
      </c>
      <c r="F102" s="48">
        <f>20+150</f>
        <v>170</v>
      </c>
      <c r="G102" s="27"/>
      <c r="H102" s="27"/>
      <c r="I102" s="26"/>
      <c r="J102" s="53"/>
      <c r="K102" s="28"/>
      <c r="L102" s="188"/>
      <c r="M102" s="21">
        <v>0.21</v>
      </c>
      <c r="N102" s="29"/>
      <c r="O102" s="151"/>
      <c r="P102" s="58" t="s">
        <v>660</v>
      </c>
      <c r="Q102" s="30"/>
    </row>
    <row r="103" spans="1:18" s="2" customFormat="1" ht="28.8" x14ac:dyDescent="0.3">
      <c r="A103" s="20">
        <v>98</v>
      </c>
      <c r="B103" s="46" t="s">
        <v>104</v>
      </c>
      <c r="C103" s="202" t="s">
        <v>317</v>
      </c>
      <c r="D103" s="34" t="s">
        <v>639</v>
      </c>
      <c r="E103" s="48" t="s">
        <v>643</v>
      </c>
      <c r="F103" s="48">
        <f>50+0</f>
        <v>50</v>
      </c>
      <c r="G103" s="27"/>
      <c r="H103" s="27"/>
      <c r="I103" s="26"/>
      <c r="J103" s="53"/>
      <c r="K103" s="28"/>
      <c r="L103" s="188"/>
      <c r="M103" s="21">
        <v>0.21</v>
      </c>
      <c r="N103" s="29"/>
      <c r="O103" s="151"/>
      <c r="P103" s="58" t="s">
        <v>660</v>
      </c>
      <c r="Q103" s="30"/>
    </row>
    <row r="104" spans="1:18" s="2" customFormat="1" ht="28.8" x14ac:dyDescent="0.3">
      <c r="A104" s="20">
        <v>99</v>
      </c>
      <c r="B104" s="46" t="s">
        <v>105</v>
      </c>
      <c r="C104" s="202" t="s">
        <v>319</v>
      </c>
      <c r="D104" s="34" t="s">
        <v>639</v>
      </c>
      <c r="E104" s="48" t="s">
        <v>643</v>
      </c>
      <c r="F104" s="48">
        <f>50+753</f>
        <v>803</v>
      </c>
      <c r="G104" s="27"/>
      <c r="H104" s="27"/>
      <c r="I104" s="26"/>
      <c r="J104" s="53"/>
      <c r="K104" s="28"/>
      <c r="L104" s="188"/>
      <c r="M104" s="21">
        <v>0.21</v>
      </c>
      <c r="N104" s="29"/>
      <c r="O104" s="151"/>
      <c r="P104" s="58" t="s">
        <v>660</v>
      </c>
      <c r="Q104" s="30"/>
    </row>
    <row r="105" spans="1:18" s="2" customFormat="1" ht="28.8" x14ac:dyDescent="0.3">
      <c r="A105" s="20">
        <v>100</v>
      </c>
      <c r="B105" s="46" t="s">
        <v>107</v>
      </c>
      <c r="C105" s="202" t="s">
        <v>321</v>
      </c>
      <c r="D105" s="34" t="s">
        <v>639</v>
      </c>
      <c r="E105" s="48" t="s">
        <v>643</v>
      </c>
      <c r="F105" s="48">
        <f>50+2294</f>
        <v>2344</v>
      </c>
      <c r="G105" s="27"/>
      <c r="H105" s="27"/>
      <c r="I105" s="26"/>
      <c r="J105" s="53"/>
      <c r="K105" s="28"/>
      <c r="L105" s="188"/>
      <c r="M105" s="21">
        <v>0.21</v>
      </c>
      <c r="N105" s="29"/>
      <c r="O105" s="151"/>
      <c r="P105" s="58" t="s">
        <v>654</v>
      </c>
      <c r="Q105" s="30"/>
    </row>
    <row r="106" spans="1:18" s="2" customFormat="1" ht="29.4" customHeight="1" x14ac:dyDescent="0.3">
      <c r="A106" s="20">
        <v>101</v>
      </c>
      <c r="B106" s="46" t="s">
        <v>108</v>
      </c>
      <c r="C106" s="202" t="s">
        <v>323</v>
      </c>
      <c r="D106" s="34" t="s">
        <v>639</v>
      </c>
      <c r="E106" s="48" t="s">
        <v>643</v>
      </c>
      <c r="F106" s="48">
        <f>200+7003</f>
        <v>7203</v>
      </c>
      <c r="G106" s="27"/>
      <c r="H106" s="27"/>
      <c r="I106" s="26"/>
      <c r="J106" s="53"/>
      <c r="K106" s="28"/>
      <c r="L106" s="188"/>
      <c r="M106" s="21">
        <v>0.21</v>
      </c>
      <c r="N106" s="29"/>
      <c r="O106" s="151"/>
      <c r="P106" s="39"/>
      <c r="Q106" s="30"/>
    </row>
    <row r="107" spans="1:18" s="2" customFormat="1" ht="14.4" x14ac:dyDescent="0.3">
      <c r="A107" s="20">
        <v>102</v>
      </c>
      <c r="B107" s="46" t="s">
        <v>109</v>
      </c>
      <c r="C107" s="202" t="s">
        <v>325</v>
      </c>
      <c r="D107" s="34" t="s">
        <v>639</v>
      </c>
      <c r="E107" s="48" t="s">
        <v>643</v>
      </c>
      <c r="F107" s="48">
        <f>40+777</f>
        <v>817</v>
      </c>
      <c r="G107" s="27"/>
      <c r="H107" s="27"/>
      <c r="I107" s="26"/>
      <c r="J107" s="53"/>
      <c r="K107" s="28"/>
      <c r="L107" s="188"/>
      <c r="M107" s="21">
        <v>0.21</v>
      </c>
      <c r="N107" s="29"/>
      <c r="O107" s="151"/>
      <c r="P107" s="39"/>
      <c r="Q107" s="30"/>
    </row>
    <row r="108" spans="1:18" s="2" customFormat="1" ht="28.8" x14ac:dyDescent="0.3">
      <c r="A108" s="20">
        <v>103</v>
      </c>
      <c r="B108" s="46" t="s">
        <v>110</v>
      </c>
      <c r="C108" s="202" t="s">
        <v>327</v>
      </c>
      <c r="D108" s="34" t="s">
        <v>639</v>
      </c>
      <c r="E108" s="48" t="s">
        <v>643</v>
      </c>
      <c r="F108" s="48">
        <f>20+0</f>
        <v>20</v>
      </c>
      <c r="G108" s="27"/>
      <c r="H108" s="27"/>
      <c r="I108" s="26"/>
      <c r="J108" s="53"/>
      <c r="K108" s="28"/>
      <c r="L108" s="188"/>
      <c r="M108" s="21">
        <v>0.21</v>
      </c>
      <c r="N108" s="29"/>
      <c r="O108" s="151"/>
      <c r="P108" s="58" t="s">
        <v>653</v>
      </c>
      <c r="Q108" s="30"/>
    </row>
    <row r="109" spans="1:18" s="2" customFormat="1" ht="14.4" x14ac:dyDescent="0.3">
      <c r="A109" s="20">
        <v>104</v>
      </c>
      <c r="B109" s="46" t="s">
        <v>111</v>
      </c>
      <c r="C109" s="202" t="s">
        <v>329</v>
      </c>
      <c r="D109" s="34" t="s">
        <v>639</v>
      </c>
      <c r="E109" s="48" t="s">
        <v>643</v>
      </c>
      <c r="F109" s="48">
        <f>100+1247</f>
        <v>1347</v>
      </c>
      <c r="G109" s="27"/>
      <c r="H109" s="27"/>
      <c r="I109" s="26"/>
      <c r="J109" s="53"/>
      <c r="K109" s="28"/>
      <c r="L109" s="188"/>
      <c r="M109" s="21">
        <v>0.21</v>
      </c>
      <c r="N109" s="29"/>
      <c r="O109" s="151"/>
      <c r="P109" s="39"/>
      <c r="Q109" s="30"/>
    </row>
    <row r="110" spans="1:18" s="2" customFormat="1" ht="31.8" customHeight="1" x14ac:dyDescent="0.3">
      <c r="A110" s="20">
        <v>105</v>
      </c>
      <c r="B110" s="46" t="s">
        <v>112</v>
      </c>
      <c r="C110" s="202" t="s">
        <v>331</v>
      </c>
      <c r="D110" s="34" t="s">
        <v>639</v>
      </c>
      <c r="E110" s="48" t="s">
        <v>643</v>
      </c>
      <c r="F110" s="48">
        <f>100+2120</f>
        <v>2220</v>
      </c>
      <c r="G110" s="27"/>
      <c r="H110" s="27"/>
      <c r="I110" s="26"/>
      <c r="J110" s="53"/>
      <c r="K110" s="28"/>
      <c r="L110" s="188"/>
      <c r="M110" s="21">
        <v>0.21</v>
      </c>
      <c r="N110" s="29"/>
      <c r="O110" s="151"/>
      <c r="P110" s="39"/>
      <c r="Q110" s="30"/>
    </row>
    <row r="111" spans="1:18" s="2" customFormat="1" ht="39" customHeight="1" x14ac:dyDescent="0.3">
      <c r="A111" s="20">
        <v>106</v>
      </c>
      <c r="B111" s="46" t="s">
        <v>113</v>
      </c>
      <c r="C111" s="202" t="s">
        <v>333</v>
      </c>
      <c r="D111" s="34" t="s">
        <v>639</v>
      </c>
      <c r="E111" s="48" t="s">
        <v>643</v>
      </c>
      <c r="F111" s="48">
        <f>50+2157</f>
        <v>2207</v>
      </c>
      <c r="G111" s="27"/>
      <c r="H111" s="27"/>
      <c r="I111" s="26"/>
      <c r="J111" s="53"/>
      <c r="K111" s="28"/>
      <c r="L111" s="188"/>
      <c r="M111" s="21">
        <v>0.21</v>
      </c>
      <c r="N111" s="29"/>
      <c r="O111" s="151"/>
      <c r="P111" s="39"/>
      <c r="Q111" s="30"/>
    </row>
    <row r="112" spans="1:18" s="2" customFormat="1" ht="41.4" customHeight="1" x14ac:dyDescent="0.3">
      <c r="A112" s="20">
        <v>107</v>
      </c>
      <c r="B112" s="46" t="s">
        <v>114</v>
      </c>
      <c r="C112" s="202" t="s">
        <v>335</v>
      </c>
      <c r="D112" s="34" t="s">
        <v>639</v>
      </c>
      <c r="E112" s="48" t="s">
        <v>643</v>
      </c>
      <c r="F112" s="48">
        <f>10+17</f>
        <v>27</v>
      </c>
      <c r="G112" s="27"/>
      <c r="H112" s="27"/>
      <c r="I112" s="26"/>
      <c r="J112" s="53"/>
      <c r="K112" s="28"/>
      <c r="L112" s="188"/>
      <c r="M112" s="21">
        <v>0.21</v>
      </c>
      <c r="N112" s="29"/>
      <c r="O112" s="151"/>
      <c r="P112" s="39"/>
      <c r="Q112" s="30"/>
    </row>
    <row r="113" spans="1:18" s="2" customFormat="1" ht="28.8" x14ac:dyDescent="0.3">
      <c r="A113" s="20">
        <v>108</v>
      </c>
      <c r="B113" s="46" t="s">
        <v>115</v>
      </c>
      <c r="C113" s="202" t="s">
        <v>337</v>
      </c>
      <c r="D113" s="34" t="s">
        <v>639</v>
      </c>
      <c r="E113" s="48" t="s">
        <v>643</v>
      </c>
      <c r="F113" s="48">
        <f>20+274</f>
        <v>294</v>
      </c>
      <c r="G113" s="27"/>
      <c r="H113" s="27"/>
      <c r="I113" s="26"/>
      <c r="J113" s="53"/>
      <c r="K113" s="28"/>
      <c r="L113" s="188"/>
      <c r="M113" s="21">
        <v>0.21</v>
      </c>
      <c r="N113" s="29"/>
      <c r="O113" s="151"/>
      <c r="P113" s="58" t="s">
        <v>661</v>
      </c>
      <c r="Q113" s="30"/>
    </row>
    <row r="114" spans="1:18" s="2" customFormat="1" ht="28.8" x14ac:dyDescent="0.3">
      <c r="A114" s="20">
        <v>109</v>
      </c>
      <c r="B114" s="46" t="s">
        <v>116</v>
      </c>
      <c r="C114" s="202" t="s">
        <v>339</v>
      </c>
      <c r="D114" s="34" t="s">
        <v>639</v>
      </c>
      <c r="E114" s="48" t="s">
        <v>643</v>
      </c>
      <c r="F114" s="48">
        <f>50+824</f>
        <v>874</v>
      </c>
      <c r="G114" s="27"/>
      <c r="H114" s="27"/>
      <c r="I114" s="26"/>
      <c r="J114" s="53"/>
      <c r="K114" s="28"/>
      <c r="L114" s="188"/>
      <c r="M114" s="24">
        <v>0.21</v>
      </c>
      <c r="N114" s="29"/>
      <c r="O114" s="151"/>
      <c r="P114" s="58" t="s">
        <v>662</v>
      </c>
      <c r="Q114" s="30"/>
    </row>
    <row r="115" spans="1:18" s="2" customFormat="1" ht="14.4" x14ac:dyDescent="0.3">
      <c r="A115" s="20">
        <v>110</v>
      </c>
      <c r="B115" s="46" t="s">
        <v>117</v>
      </c>
      <c r="C115" s="202" t="s">
        <v>341</v>
      </c>
      <c r="D115" s="34" t="s">
        <v>639</v>
      </c>
      <c r="E115" s="48" t="s">
        <v>643</v>
      </c>
      <c r="F115" s="48">
        <f>100+0</f>
        <v>100</v>
      </c>
      <c r="G115" s="31"/>
      <c r="H115" s="31"/>
      <c r="I115" s="32"/>
      <c r="J115" s="53"/>
      <c r="K115" s="28"/>
      <c r="L115" s="188"/>
      <c r="M115" s="21">
        <v>0.21</v>
      </c>
      <c r="N115" s="29"/>
      <c r="O115" s="151"/>
      <c r="P115" s="39"/>
      <c r="Q115" s="30"/>
    </row>
    <row r="116" spans="1:18" s="2" customFormat="1" ht="33" customHeight="1" x14ac:dyDescent="0.3">
      <c r="A116" s="20">
        <v>111</v>
      </c>
      <c r="B116" s="46" t="s">
        <v>121</v>
      </c>
      <c r="C116" s="202" t="s">
        <v>343</v>
      </c>
      <c r="D116" s="34" t="s">
        <v>639</v>
      </c>
      <c r="E116" s="48" t="s">
        <v>643</v>
      </c>
      <c r="F116" s="48">
        <f>10+10</f>
        <v>20</v>
      </c>
      <c r="G116" s="27"/>
      <c r="H116" s="27"/>
      <c r="I116" s="26"/>
      <c r="J116" s="53"/>
      <c r="K116" s="28"/>
      <c r="L116" s="188"/>
      <c r="M116" s="21">
        <v>0.21</v>
      </c>
      <c r="N116" s="29"/>
      <c r="O116" s="151"/>
      <c r="P116" s="39"/>
      <c r="Q116" s="30"/>
      <c r="R116" s="20">
        <v>1863199</v>
      </c>
    </row>
    <row r="117" spans="1:18" s="2" customFormat="1" ht="28.8" x14ac:dyDescent="0.3">
      <c r="A117" s="20">
        <v>112</v>
      </c>
      <c r="B117" s="46" t="s">
        <v>122</v>
      </c>
      <c r="C117" s="202" t="s">
        <v>345</v>
      </c>
      <c r="D117" s="34" t="s">
        <v>639</v>
      </c>
      <c r="E117" s="48" t="s">
        <v>643</v>
      </c>
      <c r="F117" s="48">
        <f>10+104</f>
        <v>114</v>
      </c>
      <c r="G117" s="27"/>
      <c r="H117" s="27"/>
      <c r="I117" s="26"/>
      <c r="J117" s="53"/>
      <c r="K117" s="28"/>
      <c r="L117" s="188"/>
      <c r="M117" s="21">
        <v>0.21</v>
      </c>
      <c r="N117" s="29"/>
      <c r="O117" s="151"/>
      <c r="P117" s="58" t="s">
        <v>659</v>
      </c>
      <c r="Q117" s="30"/>
      <c r="R117" s="20">
        <v>1863202</v>
      </c>
    </row>
    <row r="118" spans="1:18" s="2" customFormat="1" ht="28.8" x14ac:dyDescent="0.3">
      <c r="A118" s="20">
        <v>113</v>
      </c>
      <c r="B118" s="46" t="s">
        <v>123</v>
      </c>
      <c r="C118" s="202" t="s">
        <v>726</v>
      </c>
      <c r="D118" s="34" t="s">
        <v>639</v>
      </c>
      <c r="E118" s="48" t="s">
        <v>643</v>
      </c>
      <c r="F118" s="48">
        <f>100+2959</f>
        <v>3059</v>
      </c>
      <c r="G118" s="27"/>
      <c r="H118" s="27"/>
      <c r="I118" s="26"/>
      <c r="J118" s="53"/>
      <c r="K118" s="28"/>
      <c r="L118" s="188"/>
      <c r="M118" s="21">
        <v>0.21</v>
      </c>
      <c r="N118" s="29"/>
      <c r="O118" s="151"/>
      <c r="P118" s="58" t="s">
        <v>654</v>
      </c>
      <c r="Q118" s="30"/>
      <c r="R118" s="20">
        <v>102491</v>
      </c>
    </row>
    <row r="119" spans="1:18" s="2" customFormat="1" ht="30" customHeight="1" x14ac:dyDescent="0.3">
      <c r="A119" s="20">
        <v>114</v>
      </c>
      <c r="B119" s="46" t="s">
        <v>124</v>
      </c>
      <c r="C119" s="202" t="s">
        <v>727</v>
      </c>
      <c r="D119" s="34" t="s">
        <v>639</v>
      </c>
      <c r="E119" s="48" t="s">
        <v>643</v>
      </c>
      <c r="F119" s="48">
        <f>100+273</f>
        <v>373</v>
      </c>
      <c r="G119" s="27"/>
      <c r="H119" s="27"/>
      <c r="I119" s="26"/>
      <c r="J119" s="53"/>
      <c r="K119" s="28"/>
      <c r="L119" s="188"/>
      <c r="M119" s="24">
        <v>0.21</v>
      </c>
      <c r="N119" s="29"/>
      <c r="O119" s="151"/>
      <c r="P119" s="39"/>
      <c r="Q119" s="30"/>
      <c r="R119" s="20">
        <v>978532</v>
      </c>
    </row>
    <row r="120" spans="1:18" s="2" customFormat="1" ht="28.8" x14ac:dyDescent="0.3">
      <c r="A120" s="20">
        <v>115</v>
      </c>
      <c r="B120" s="46" t="s">
        <v>126</v>
      </c>
      <c r="C120" s="202" t="s">
        <v>348</v>
      </c>
      <c r="D120" s="34" t="s">
        <v>639</v>
      </c>
      <c r="E120" s="48" t="s">
        <v>643</v>
      </c>
      <c r="F120" s="48">
        <f>150+882</f>
        <v>1032</v>
      </c>
      <c r="G120" s="27"/>
      <c r="H120" s="27"/>
      <c r="I120" s="26"/>
      <c r="J120" s="53"/>
      <c r="K120" s="28"/>
      <c r="L120" s="188"/>
      <c r="M120" s="21">
        <v>0.21</v>
      </c>
      <c r="N120" s="29"/>
      <c r="O120" s="151"/>
      <c r="P120" s="58" t="s">
        <v>663</v>
      </c>
      <c r="Q120" s="30"/>
      <c r="R120" s="20"/>
    </row>
    <row r="121" spans="1:18" s="2" customFormat="1" ht="28.8" x14ac:dyDescent="0.3">
      <c r="A121" s="20">
        <v>116</v>
      </c>
      <c r="B121" s="46" t="s">
        <v>130</v>
      </c>
      <c r="C121" s="202" t="s">
        <v>350</v>
      </c>
      <c r="D121" s="34" t="s">
        <v>639</v>
      </c>
      <c r="E121" s="48" t="s">
        <v>643</v>
      </c>
      <c r="F121" s="48">
        <f>20+58</f>
        <v>78</v>
      </c>
      <c r="G121" s="27"/>
      <c r="H121" s="27"/>
      <c r="I121" s="26"/>
      <c r="J121" s="53"/>
      <c r="K121" s="28"/>
      <c r="L121" s="188"/>
      <c r="M121" s="21">
        <v>0.21</v>
      </c>
      <c r="N121" s="29"/>
      <c r="O121" s="151"/>
      <c r="P121" s="58" t="s">
        <v>659</v>
      </c>
      <c r="Q121" s="30"/>
      <c r="R121" s="20">
        <v>186991</v>
      </c>
    </row>
    <row r="122" spans="1:18" s="2" customFormat="1" ht="32.4" customHeight="1" x14ac:dyDescent="0.3">
      <c r="A122" s="20">
        <v>117</v>
      </c>
      <c r="B122" s="46" t="s">
        <v>131</v>
      </c>
      <c r="C122" s="202" t="s">
        <v>352</v>
      </c>
      <c r="D122" s="34" t="s">
        <v>639</v>
      </c>
      <c r="E122" s="48" t="s">
        <v>643</v>
      </c>
      <c r="F122" s="48">
        <f>10+19</f>
        <v>29</v>
      </c>
      <c r="G122" s="27"/>
      <c r="H122" s="27"/>
      <c r="I122" s="26"/>
      <c r="J122" s="53"/>
      <c r="K122" s="28"/>
      <c r="L122" s="188"/>
      <c r="M122" s="21">
        <v>0.21</v>
      </c>
      <c r="N122" s="29"/>
      <c r="O122" s="151"/>
      <c r="P122" s="39"/>
      <c r="Q122" s="30"/>
      <c r="R122" s="20">
        <v>4567004</v>
      </c>
    </row>
    <row r="123" spans="1:18" ht="28.8" customHeight="1" x14ac:dyDescent="0.3">
      <c r="A123" s="20">
        <v>118</v>
      </c>
      <c r="B123" s="46" t="s">
        <v>132</v>
      </c>
      <c r="C123" s="202" t="s">
        <v>354</v>
      </c>
      <c r="D123" s="34" t="s">
        <v>639</v>
      </c>
      <c r="E123" s="48" t="s">
        <v>643</v>
      </c>
      <c r="F123" s="48">
        <f>8+50</f>
        <v>58</v>
      </c>
      <c r="G123" s="20"/>
      <c r="H123" s="20"/>
      <c r="I123" s="20"/>
      <c r="J123" s="53"/>
      <c r="K123" s="22"/>
      <c r="L123" s="188"/>
      <c r="M123" s="21">
        <v>0.21</v>
      </c>
      <c r="N123" s="20"/>
      <c r="O123" s="48"/>
      <c r="P123" s="40"/>
      <c r="Q123" s="170"/>
      <c r="R123" s="20">
        <v>101896</v>
      </c>
    </row>
    <row r="124" spans="1:18" ht="28.8" x14ac:dyDescent="0.3">
      <c r="A124" s="20">
        <v>119</v>
      </c>
      <c r="B124" s="46" t="s">
        <v>133</v>
      </c>
      <c r="C124" s="202" t="s">
        <v>356</v>
      </c>
      <c r="D124" s="34" t="s">
        <v>639</v>
      </c>
      <c r="E124" s="48" t="s">
        <v>643</v>
      </c>
      <c r="F124" s="48">
        <f>20+133</f>
        <v>153</v>
      </c>
      <c r="G124" s="20"/>
      <c r="H124" s="20"/>
      <c r="I124" s="20"/>
      <c r="J124" s="53"/>
      <c r="K124" s="22"/>
      <c r="L124" s="188"/>
      <c r="M124" s="21">
        <v>0.21</v>
      </c>
      <c r="N124" s="20"/>
      <c r="O124" s="48"/>
      <c r="P124" s="58" t="s">
        <v>660</v>
      </c>
      <c r="Q124" s="20"/>
      <c r="R124" s="20">
        <v>102206</v>
      </c>
    </row>
    <row r="125" spans="1:18" ht="30" customHeight="1" x14ac:dyDescent="0.3">
      <c r="A125" s="20">
        <v>120</v>
      </c>
      <c r="B125" s="46" t="s">
        <v>134</v>
      </c>
      <c r="C125" s="202" t="s">
        <v>358</v>
      </c>
      <c r="D125" s="34" t="s">
        <v>639</v>
      </c>
      <c r="E125" s="48" t="s">
        <v>643</v>
      </c>
      <c r="F125" s="48">
        <f>10+0</f>
        <v>10</v>
      </c>
      <c r="G125" s="20"/>
      <c r="H125" s="20"/>
      <c r="I125" s="20"/>
      <c r="J125" s="53"/>
      <c r="K125" s="22"/>
      <c r="L125" s="188"/>
      <c r="M125" s="21">
        <v>0.21</v>
      </c>
      <c r="N125" s="20"/>
      <c r="O125" s="48"/>
      <c r="P125" s="40"/>
      <c r="Q125" s="170"/>
      <c r="R125" s="20">
        <v>4567117</v>
      </c>
    </row>
    <row r="126" spans="1:18" ht="29.4" customHeight="1" x14ac:dyDescent="0.3">
      <c r="A126" s="20">
        <v>121</v>
      </c>
      <c r="B126" s="46" t="s">
        <v>135</v>
      </c>
      <c r="C126" s="202" t="s">
        <v>360</v>
      </c>
      <c r="D126" s="34" t="s">
        <v>639</v>
      </c>
      <c r="E126" s="48" t="s">
        <v>643</v>
      </c>
      <c r="F126" s="48">
        <f>50+778</f>
        <v>828</v>
      </c>
      <c r="G126" s="20"/>
      <c r="H126" s="20"/>
      <c r="I126" s="20"/>
      <c r="J126" s="53"/>
      <c r="K126" s="22"/>
      <c r="L126" s="188"/>
      <c r="M126" s="21">
        <v>0.21</v>
      </c>
      <c r="N126" s="20"/>
      <c r="O126" s="48"/>
      <c r="P126" s="40"/>
      <c r="Q126" s="63"/>
      <c r="R126" s="20">
        <v>5178542</v>
      </c>
    </row>
    <row r="127" spans="1:18" ht="27" customHeight="1" x14ac:dyDescent="0.3">
      <c r="A127" s="20">
        <v>122</v>
      </c>
      <c r="B127" s="46" t="s">
        <v>136</v>
      </c>
      <c r="C127" s="202" t="s">
        <v>362</v>
      </c>
      <c r="D127" s="34" t="s">
        <v>639</v>
      </c>
      <c r="E127" s="48" t="s">
        <v>643</v>
      </c>
      <c r="F127" s="48">
        <f>20+0</f>
        <v>20</v>
      </c>
      <c r="G127" s="20"/>
      <c r="H127" s="20"/>
      <c r="I127" s="20"/>
      <c r="J127" s="53"/>
      <c r="K127" s="22"/>
      <c r="L127" s="188"/>
      <c r="M127" s="21">
        <v>0.21</v>
      </c>
      <c r="N127" s="20"/>
      <c r="O127" s="48"/>
      <c r="P127" s="40"/>
      <c r="Q127" s="63"/>
      <c r="R127" s="20">
        <v>5178531</v>
      </c>
    </row>
    <row r="128" spans="1:18" ht="36.6" customHeight="1" thickBot="1" x14ac:dyDescent="0.35">
      <c r="A128" s="20">
        <v>123</v>
      </c>
      <c r="B128" s="68" t="s">
        <v>137</v>
      </c>
      <c r="C128" s="202" t="s">
        <v>364</v>
      </c>
      <c r="D128" s="34" t="s">
        <v>639</v>
      </c>
      <c r="E128" s="48" t="s">
        <v>643</v>
      </c>
      <c r="F128" s="67">
        <f>100+3499</f>
        <v>3599</v>
      </c>
      <c r="G128" s="67"/>
      <c r="H128" s="67"/>
      <c r="I128" s="67"/>
      <c r="J128" s="72"/>
      <c r="K128" s="69"/>
      <c r="L128" s="74"/>
      <c r="M128" s="94">
        <v>0.21</v>
      </c>
      <c r="N128" s="67"/>
      <c r="O128" s="67"/>
      <c r="P128" s="126"/>
      <c r="Q128" s="67"/>
      <c r="R128" s="20"/>
    </row>
    <row r="129" spans="1:18" ht="15" thickBot="1" x14ac:dyDescent="0.35">
      <c r="A129" s="132"/>
      <c r="B129" s="133"/>
      <c r="C129" s="163" t="s">
        <v>366</v>
      </c>
      <c r="D129" s="134"/>
      <c r="E129" s="135"/>
      <c r="F129" s="135"/>
      <c r="G129" s="136"/>
      <c r="H129" s="136"/>
      <c r="I129" s="134"/>
      <c r="J129" s="137"/>
      <c r="K129" s="138"/>
      <c r="L129" s="139"/>
      <c r="M129" s="139"/>
      <c r="N129" s="140"/>
      <c r="O129" s="140"/>
      <c r="P129" s="90"/>
      <c r="Q129" s="147"/>
    </row>
    <row r="130" spans="1:18" ht="63.6" customHeight="1" x14ac:dyDescent="0.3">
      <c r="A130" s="34">
        <v>124</v>
      </c>
      <c r="B130" s="79" t="s">
        <v>138</v>
      </c>
      <c r="C130" s="202" t="s">
        <v>368</v>
      </c>
      <c r="D130" s="34" t="s">
        <v>639</v>
      </c>
      <c r="E130" s="34" t="s">
        <v>643</v>
      </c>
      <c r="F130" s="34">
        <f>50+0</f>
        <v>50</v>
      </c>
      <c r="G130" s="34"/>
      <c r="H130" s="34"/>
      <c r="I130" s="34"/>
      <c r="J130" s="200"/>
      <c r="K130" s="141"/>
      <c r="L130" s="187"/>
      <c r="M130" s="36">
        <v>0.21</v>
      </c>
      <c r="N130" s="34"/>
      <c r="O130" s="34"/>
      <c r="P130" s="114"/>
      <c r="Q130" s="34"/>
    </row>
    <row r="131" spans="1:18" ht="52.2" customHeight="1" x14ac:dyDescent="0.3">
      <c r="A131" s="20">
        <v>125</v>
      </c>
      <c r="B131" s="46" t="s">
        <v>139</v>
      </c>
      <c r="C131" s="202" t="s">
        <v>370</v>
      </c>
      <c r="D131" s="34" t="s">
        <v>639</v>
      </c>
      <c r="E131" s="48" t="s">
        <v>643</v>
      </c>
      <c r="F131" s="48">
        <f>10+295</f>
        <v>305</v>
      </c>
      <c r="G131" s="20"/>
      <c r="H131" s="20"/>
      <c r="I131" s="20"/>
      <c r="J131" s="64"/>
      <c r="K131" s="22"/>
      <c r="L131" s="188"/>
      <c r="M131" s="21">
        <v>0.21</v>
      </c>
      <c r="N131" s="20"/>
      <c r="O131" s="48"/>
      <c r="P131" s="40"/>
      <c r="Q131" s="20"/>
    </row>
    <row r="132" spans="1:18" ht="55.2" customHeight="1" x14ac:dyDescent="0.3">
      <c r="A132" s="34">
        <v>126</v>
      </c>
      <c r="B132" s="46" t="s">
        <v>140</v>
      </c>
      <c r="C132" s="202" t="s">
        <v>372</v>
      </c>
      <c r="D132" s="34" t="s">
        <v>639</v>
      </c>
      <c r="E132" s="48" t="s">
        <v>643</v>
      </c>
      <c r="F132" s="48">
        <f>10+55</f>
        <v>65</v>
      </c>
      <c r="G132" s="20"/>
      <c r="H132" s="20"/>
      <c r="I132" s="20"/>
      <c r="J132" s="64"/>
      <c r="K132" s="22"/>
      <c r="L132" s="188"/>
      <c r="M132" s="21">
        <v>0.21</v>
      </c>
      <c r="N132" s="20"/>
      <c r="O132" s="48"/>
      <c r="P132" s="40"/>
      <c r="Q132" s="20"/>
      <c r="R132" s="20">
        <v>6397501</v>
      </c>
    </row>
    <row r="133" spans="1:18" ht="61.8" customHeight="1" x14ac:dyDescent="0.3">
      <c r="A133" s="20">
        <v>127</v>
      </c>
      <c r="B133" s="46" t="s">
        <v>141</v>
      </c>
      <c r="C133" s="202" t="s">
        <v>374</v>
      </c>
      <c r="D133" s="34" t="s">
        <v>639</v>
      </c>
      <c r="E133" s="48" t="s">
        <v>643</v>
      </c>
      <c r="F133" s="48">
        <f>10+343</f>
        <v>353</v>
      </c>
      <c r="G133" s="20"/>
      <c r="H133" s="20"/>
      <c r="I133" s="20"/>
      <c r="J133" s="64"/>
      <c r="K133" s="22"/>
      <c r="L133" s="188"/>
      <c r="M133" s="21">
        <v>0.21</v>
      </c>
      <c r="N133" s="20"/>
      <c r="O133" s="48"/>
      <c r="P133" s="40"/>
      <c r="Q133" s="20"/>
      <c r="R133" s="20">
        <v>6397498</v>
      </c>
    </row>
    <row r="134" spans="1:18" ht="65.400000000000006" customHeight="1" x14ac:dyDescent="0.3">
      <c r="A134" s="34">
        <v>128</v>
      </c>
      <c r="B134" s="46" t="s">
        <v>142</v>
      </c>
      <c r="C134" s="202" t="s">
        <v>376</v>
      </c>
      <c r="D134" s="34" t="s">
        <v>639</v>
      </c>
      <c r="E134" s="48" t="s">
        <v>643</v>
      </c>
      <c r="F134" s="48">
        <f>10+182</f>
        <v>192</v>
      </c>
      <c r="G134" s="20"/>
      <c r="H134" s="20"/>
      <c r="I134" s="20"/>
      <c r="J134" s="64"/>
      <c r="K134" s="22"/>
      <c r="L134" s="188"/>
      <c r="M134" s="21">
        <v>0.21</v>
      </c>
      <c r="N134" s="20"/>
      <c r="O134" s="48"/>
      <c r="P134" s="40"/>
      <c r="Q134" s="20"/>
      <c r="R134" s="20"/>
    </row>
    <row r="135" spans="1:18" ht="56.4" customHeight="1" x14ac:dyDescent="0.3">
      <c r="A135" s="20">
        <v>129</v>
      </c>
      <c r="B135" s="46" t="s">
        <v>143</v>
      </c>
      <c r="C135" s="202" t="s">
        <v>378</v>
      </c>
      <c r="D135" s="34" t="s">
        <v>639</v>
      </c>
      <c r="E135" s="48" t="s">
        <v>643</v>
      </c>
      <c r="F135" s="48">
        <f>5+0</f>
        <v>5</v>
      </c>
      <c r="G135" s="20"/>
      <c r="H135" s="20"/>
      <c r="I135" s="20"/>
      <c r="J135" s="64"/>
      <c r="K135" s="22"/>
      <c r="L135" s="188"/>
      <c r="M135" s="21">
        <v>0.21</v>
      </c>
      <c r="N135" s="20"/>
      <c r="O135" s="48"/>
      <c r="P135" s="40"/>
      <c r="Q135" s="20"/>
      <c r="R135" s="20"/>
    </row>
    <row r="136" spans="1:18" ht="55.2" customHeight="1" x14ac:dyDescent="0.3">
      <c r="A136" s="34">
        <v>130</v>
      </c>
      <c r="B136" s="46" t="s">
        <v>144</v>
      </c>
      <c r="C136" s="202" t="s">
        <v>380</v>
      </c>
      <c r="D136" s="34" t="s">
        <v>639</v>
      </c>
      <c r="E136" s="48" t="s">
        <v>643</v>
      </c>
      <c r="F136" s="48">
        <f>5+47</f>
        <v>52</v>
      </c>
      <c r="G136" s="20"/>
      <c r="H136" s="20"/>
      <c r="I136" s="20"/>
      <c r="J136" s="64"/>
      <c r="K136" s="22"/>
      <c r="L136" s="188"/>
      <c r="M136" s="21">
        <v>0.21</v>
      </c>
      <c r="N136" s="20"/>
      <c r="O136" s="48"/>
      <c r="P136" s="40"/>
      <c r="Q136" s="20"/>
      <c r="R136" s="20"/>
    </row>
    <row r="137" spans="1:18" ht="30.6" x14ac:dyDescent="0.3">
      <c r="A137" s="20">
        <v>131</v>
      </c>
      <c r="B137" s="46" t="s">
        <v>145</v>
      </c>
      <c r="C137" s="202" t="s">
        <v>382</v>
      </c>
      <c r="D137" s="34" t="s">
        <v>639</v>
      </c>
      <c r="E137" s="48" t="s">
        <v>643</v>
      </c>
      <c r="F137" s="48">
        <f>5+15</f>
        <v>20</v>
      </c>
      <c r="G137" s="20"/>
      <c r="H137" s="20"/>
      <c r="I137" s="20"/>
      <c r="J137" s="64"/>
      <c r="K137" s="22"/>
      <c r="L137" s="188"/>
      <c r="M137" s="21">
        <v>0.21</v>
      </c>
      <c r="N137" s="20"/>
      <c r="O137" s="48"/>
      <c r="P137" s="40"/>
      <c r="Q137" s="20"/>
      <c r="R137" s="20">
        <v>6397922</v>
      </c>
    </row>
    <row r="138" spans="1:18" ht="60.6" customHeight="1" x14ac:dyDescent="0.3">
      <c r="A138" s="34">
        <v>132</v>
      </c>
      <c r="B138" s="46" t="s">
        <v>146</v>
      </c>
      <c r="C138" s="202" t="s">
        <v>384</v>
      </c>
      <c r="D138" s="34" t="s">
        <v>639</v>
      </c>
      <c r="E138" s="48" t="s">
        <v>643</v>
      </c>
      <c r="F138" s="48">
        <f>10+9</f>
        <v>19</v>
      </c>
      <c r="G138" s="20"/>
      <c r="H138" s="20"/>
      <c r="I138" s="20"/>
      <c r="J138" s="64"/>
      <c r="K138" s="22"/>
      <c r="L138" s="188"/>
      <c r="M138" s="21">
        <v>0.21</v>
      </c>
      <c r="N138" s="20"/>
      <c r="O138" s="48"/>
      <c r="P138" s="40"/>
      <c r="Q138" s="20"/>
      <c r="R138" s="20"/>
    </row>
    <row r="139" spans="1:18" ht="68.400000000000006" customHeight="1" x14ac:dyDescent="0.3">
      <c r="A139" s="20">
        <v>133</v>
      </c>
      <c r="B139" s="46" t="s">
        <v>147</v>
      </c>
      <c r="C139" s="202" t="s">
        <v>386</v>
      </c>
      <c r="D139" s="34" t="s">
        <v>639</v>
      </c>
      <c r="E139" s="48" t="s">
        <v>643</v>
      </c>
      <c r="F139" s="48">
        <f>15+724</f>
        <v>739</v>
      </c>
      <c r="G139" s="20"/>
      <c r="H139" s="20"/>
      <c r="I139" s="20"/>
      <c r="J139" s="64"/>
      <c r="K139" s="22"/>
      <c r="L139" s="188"/>
      <c r="M139" s="21">
        <v>0.21</v>
      </c>
      <c r="N139" s="20"/>
      <c r="O139" s="48"/>
      <c r="P139" s="40"/>
      <c r="Q139" s="20"/>
      <c r="R139" s="20">
        <v>6397465</v>
      </c>
    </row>
    <row r="140" spans="1:18" ht="61.8" customHeight="1" x14ac:dyDescent="0.3">
      <c r="A140" s="34">
        <v>134</v>
      </c>
      <c r="B140" s="46" t="s">
        <v>148</v>
      </c>
      <c r="C140" s="202" t="s">
        <v>388</v>
      </c>
      <c r="D140" s="34" t="s">
        <v>639</v>
      </c>
      <c r="E140" s="48" t="s">
        <v>643</v>
      </c>
      <c r="F140" s="48">
        <f>10+29</f>
        <v>39</v>
      </c>
      <c r="G140" s="20"/>
      <c r="H140" s="20"/>
      <c r="I140" s="20"/>
      <c r="J140" s="64"/>
      <c r="K140" s="22"/>
      <c r="L140" s="188"/>
      <c r="M140" s="21">
        <v>0.21</v>
      </c>
      <c r="N140" s="20"/>
      <c r="O140" s="48"/>
      <c r="P140" s="40"/>
      <c r="Q140" s="20"/>
      <c r="R140" s="20">
        <v>6397328</v>
      </c>
    </row>
    <row r="141" spans="1:18" ht="71.400000000000006" customHeight="1" thickBot="1" x14ac:dyDescent="0.35">
      <c r="A141" s="20">
        <v>135</v>
      </c>
      <c r="B141" s="68" t="s">
        <v>149</v>
      </c>
      <c r="C141" s="202" t="s">
        <v>390</v>
      </c>
      <c r="D141" s="34" t="s">
        <v>639</v>
      </c>
      <c r="E141" s="48" t="s">
        <v>643</v>
      </c>
      <c r="F141" s="67">
        <f>10+7</f>
        <v>17</v>
      </c>
      <c r="G141" s="67"/>
      <c r="H141" s="67"/>
      <c r="I141" s="67"/>
      <c r="J141" s="189"/>
      <c r="K141" s="69"/>
      <c r="L141" s="74"/>
      <c r="M141" s="94">
        <v>0.21</v>
      </c>
      <c r="N141" s="67"/>
      <c r="O141" s="67"/>
      <c r="P141" s="126"/>
      <c r="Q141" s="67"/>
      <c r="R141" s="20"/>
    </row>
    <row r="142" spans="1:18" ht="15" thickBot="1" x14ac:dyDescent="0.35">
      <c r="A142" s="144"/>
      <c r="B142" s="135"/>
      <c r="C142" s="167" t="s">
        <v>392</v>
      </c>
      <c r="D142" s="134"/>
      <c r="E142" s="135"/>
      <c r="F142" s="135"/>
      <c r="G142" s="136"/>
      <c r="H142" s="136"/>
      <c r="I142" s="134"/>
      <c r="J142" s="135"/>
      <c r="K142" s="201"/>
      <c r="L142" s="135"/>
      <c r="M142" s="139"/>
      <c r="N142" s="140"/>
      <c r="O142" s="140"/>
      <c r="P142" s="90"/>
      <c r="Q142" s="90"/>
    </row>
    <row r="143" spans="1:18" ht="146.4" customHeight="1" x14ac:dyDescent="0.3">
      <c r="A143" s="141">
        <v>136</v>
      </c>
      <c r="B143" s="79">
        <v>4140</v>
      </c>
      <c r="C143" s="202" t="s">
        <v>729</v>
      </c>
      <c r="D143" s="141" t="s">
        <v>639</v>
      </c>
      <c r="E143" s="34" t="s">
        <v>643</v>
      </c>
      <c r="F143" s="34">
        <f>20+14</f>
        <v>34</v>
      </c>
      <c r="G143" s="141"/>
      <c r="H143" s="141"/>
      <c r="I143" s="141"/>
      <c r="J143" s="80"/>
      <c r="K143" s="141"/>
      <c r="L143" s="187"/>
      <c r="M143" s="142">
        <v>0.21</v>
      </c>
      <c r="N143" s="141"/>
      <c r="O143" s="141"/>
      <c r="P143" s="143"/>
      <c r="Q143" s="141"/>
      <c r="R143" s="20">
        <v>2962484</v>
      </c>
    </row>
    <row r="144" spans="1:18" ht="39" customHeight="1" x14ac:dyDescent="0.3">
      <c r="A144" s="20">
        <v>137</v>
      </c>
      <c r="B144" s="46" t="s">
        <v>169</v>
      </c>
      <c r="C144" s="207" t="s">
        <v>730</v>
      </c>
      <c r="D144" s="141" t="s">
        <v>639</v>
      </c>
      <c r="E144" s="48" t="s">
        <v>643</v>
      </c>
      <c r="F144" s="48">
        <f>200+0</f>
        <v>200</v>
      </c>
      <c r="G144" s="20"/>
      <c r="H144" s="20"/>
      <c r="I144" s="20"/>
      <c r="J144" s="51"/>
      <c r="K144" s="22"/>
      <c r="L144" s="188"/>
      <c r="M144" s="21">
        <v>0.21</v>
      </c>
      <c r="N144" s="20"/>
      <c r="O144" s="48"/>
      <c r="P144" s="40"/>
      <c r="Q144" s="20"/>
    </row>
    <row r="145" spans="1:18" ht="42" customHeight="1" x14ac:dyDescent="0.3">
      <c r="A145" s="141">
        <v>138</v>
      </c>
      <c r="B145" s="46" t="s">
        <v>170</v>
      </c>
      <c r="C145" s="202" t="s">
        <v>394</v>
      </c>
      <c r="D145" s="141" t="s">
        <v>639</v>
      </c>
      <c r="E145" s="48" t="s">
        <v>643</v>
      </c>
      <c r="F145" s="48">
        <f>300+935</f>
        <v>1235</v>
      </c>
      <c r="G145" s="20"/>
      <c r="H145" s="20"/>
      <c r="I145" s="20"/>
      <c r="J145" s="53"/>
      <c r="K145" s="22"/>
      <c r="L145" s="188"/>
      <c r="M145" s="21">
        <v>0.21</v>
      </c>
      <c r="N145" s="20"/>
      <c r="O145" s="48"/>
      <c r="P145" s="40"/>
      <c r="Q145" s="20"/>
    </row>
    <row r="146" spans="1:18" ht="30" customHeight="1" x14ac:dyDescent="0.3">
      <c r="A146" s="20">
        <v>139</v>
      </c>
      <c r="B146" s="46">
        <v>167</v>
      </c>
      <c r="C146" s="202" t="s">
        <v>396</v>
      </c>
      <c r="D146" s="141" t="s">
        <v>639</v>
      </c>
      <c r="E146" s="48" t="s">
        <v>643</v>
      </c>
      <c r="F146" s="48">
        <f>20+127</f>
        <v>147</v>
      </c>
      <c r="G146" s="20"/>
      <c r="H146" s="20"/>
      <c r="I146" s="20"/>
      <c r="J146" s="53"/>
      <c r="K146" s="22"/>
      <c r="L146" s="188"/>
      <c r="M146" s="21">
        <v>0.21</v>
      </c>
      <c r="N146" s="20"/>
      <c r="O146" s="48"/>
      <c r="P146" s="40"/>
      <c r="Q146" s="20"/>
    </row>
    <row r="147" spans="1:18" ht="61.8" customHeight="1" x14ac:dyDescent="0.3">
      <c r="A147" s="141">
        <v>140</v>
      </c>
      <c r="B147" s="46" t="s">
        <v>150</v>
      </c>
      <c r="C147" s="202" t="s">
        <v>398</v>
      </c>
      <c r="D147" s="141" t="s">
        <v>639</v>
      </c>
      <c r="E147" s="48" t="s">
        <v>643</v>
      </c>
      <c r="F147" s="48">
        <f>4+27</f>
        <v>31</v>
      </c>
      <c r="G147" s="20"/>
      <c r="H147" s="20"/>
      <c r="I147" s="20"/>
      <c r="J147" s="51"/>
      <c r="K147" s="22"/>
      <c r="L147" s="188"/>
      <c r="M147" s="21">
        <v>0.21</v>
      </c>
      <c r="N147" s="20"/>
      <c r="O147" s="48"/>
      <c r="P147" s="40"/>
      <c r="Q147" s="20"/>
    </row>
    <row r="148" spans="1:18" ht="61.8" customHeight="1" x14ac:dyDescent="0.3">
      <c r="A148" s="20">
        <v>141</v>
      </c>
      <c r="B148" s="46" t="s">
        <v>151</v>
      </c>
      <c r="C148" s="202" t="s">
        <v>400</v>
      </c>
      <c r="D148" s="141" t="s">
        <v>639</v>
      </c>
      <c r="E148" s="48" t="s">
        <v>643</v>
      </c>
      <c r="F148" s="48">
        <f>4+58</f>
        <v>62</v>
      </c>
      <c r="G148" s="20"/>
      <c r="H148" s="20"/>
      <c r="I148" s="20"/>
      <c r="J148" s="53"/>
      <c r="K148" s="22"/>
      <c r="L148" s="188"/>
      <c r="M148" s="21">
        <v>0.21</v>
      </c>
      <c r="N148" s="20"/>
      <c r="O148" s="48"/>
      <c r="P148" s="40"/>
      <c r="Q148" s="20"/>
    </row>
    <row r="149" spans="1:18" ht="60" customHeight="1" x14ac:dyDescent="0.3">
      <c r="A149" s="141">
        <v>142</v>
      </c>
      <c r="B149" s="46" t="s">
        <v>152</v>
      </c>
      <c r="C149" s="202" t="s">
        <v>402</v>
      </c>
      <c r="D149" s="141" t="s">
        <v>639</v>
      </c>
      <c r="E149" s="48" t="s">
        <v>643</v>
      </c>
      <c r="F149" s="48">
        <f>4+54</f>
        <v>58</v>
      </c>
      <c r="G149" s="20"/>
      <c r="H149" s="20"/>
      <c r="I149" s="20"/>
      <c r="J149" s="51"/>
      <c r="K149" s="22"/>
      <c r="L149" s="188"/>
      <c r="M149" s="21">
        <v>0.21</v>
      </c>
      <c r="N149" s="20"/>
      <c r="O149" s="48"/>
      <c r="P149" s="40"/>
      <c r="Q149" s="20"/>
    </row>
    <row r="150" spans="1:18" ht="60.6" customHeight="1" x14ac:dyDescent="0.3">
      <c r="A150" s="20">
        <v>143</v>
      </c>
      <c r="B150" s="46" t="s">
        <v>153</v>
      </c>
      <c r="C150" s="202" t="s">
        <v>404</v>
      </c>
      <c r="D150" s="141" t="s">
        <v>639</v>
      </c>
      <c r="E150" s="48" t="s">
        <v>643</v>
      </c>
      <c r="F150" s="48">
        <f>4+132</f>
        <v>136</v>
      </c>
      <c r="G150" s="20"/>
      <c r="H150" s="20"/>
      <c r="I150" s="20"/>
      <c r="J150" s="53"/>
      <c r="K150" s="22"/>
      <c r="L150" s="188"/>
      <c r="M150" s="21">
        <v>0.21</v>
      </c>
      <c r="N150" s="20"/>
      <c r="O150" s="48"/>
      <c r="P150" s="40"/>
      <c r="Q150" s="20"/>
    </row>
    <row r="151" spans="1:18" ht="30.6" x14ac:dyDescent="0.3">
      <c r="A151" s="141">
        <v>144</v>
      </c>
      <c r="B151" s="46" t="s">
        <v>154</v>
      </c>
      <c r="C151" s="202" t="s">
        <v>406</v>
      </c>
      <c r="D151" s="141" t="s">
        <v>639</v>
      </c>
      <c r="E151" s="48" t="s">
        <v>643</v>
      </c>
      <c r="F151" s="48">
        <f>20+174</f>
        <v>194</v>
      </c>
      <c r="G151" s="20"/>
      <c r="H151" s="20"/>
      <c r="I151" s="20"/>
      <c r="J151" s="51"/>
      <c r="K151" s="22"/>
      <c r="L151" s="188"/>
      <c r="M151" s="21">
        <v>0.21</v>
      </c>
      <c r="N151" s="20"/>
      <c r="O151" s="48"/>
      <c r="P151" s="40"/>
      <c r="Q151" s="20"/>
    </row>
    <row r="152" spans="1:18" ht="65.400000000000006" customHeight="1" x14ac:dyDescent="0.3">
      <c r="A152" s="20">
        <v>145</v>
      </c>
      <c r="B152" s="46" t="s">
        <v>155</v>
      </c>
      <c r="C152" s="202" t="s">
        <v>408</v>
      </c>
      <c r="D152" s="141" t="s">
        <v>639</v>
      </c>
      <c r="E152" s="48" t="s">
        <v>643</v>
      </c>
      <c r="F152" s="48">
        <f>4+0</f>
        <v>4</v>
      </c>
      <c r="G152" s="20"/>
      <c r="H152" s="20"/>
      <c r="I152" s="20"/>
      <c r="J152" s="53"/>
      <c r="K152" s="22"/>
      <c r="L152" s="188"/>
      <c r="M152" s="21">
        <v>0.21</v>
      </c>
      <c r="N152" s="20"/>
      <c r="O152" s="48"/>
      <c r="P152" s="40"/>
      <c r="Q152" s="20"/>
    </row>
    <row r="153" spans="1:18" ht="28.2" customHeight="1" x14ac:dyDescent="0.3">
      <c r="A153" s="141">
        <v>146</v>
      </c>
      <c r="B153" s="46" t="s">
        <v>156</v>
      </c>
      <c r="C153" s="202" t="s">
        <v>410</v>
      </c>
      <c r="D153" s="141" t="s">
        <v>639</v>
      </c>
      <c r="E153" s="48" t="s">
        <v>643</v>
      </c>
      <c r="F153" s="48">
        <f>10+163</f>
        <v>173</v>
      </c>
      <c r="G153" s="20"/>
      <c r="H153" s="20"/>
      <c r="I153" s="20"/>
      <c r="J153" s="53"/>
      <c r="K153" s="22"/>
      <c r="L153" s="188"/>
      <c r="M153" s="21">
        <v>0.21</v>
      </c>
      <c r="N153" s="20"/>
      <c r="O153" s="48"/>
      <c r="P153" s="40"/>
      <c r="Q153" s="20"/>
    </row>
    <row r="154" spans="1:18" ht="22.2" customHeight="1" x14ac:dyDescent="0.3">
      <c r="A154" s="20">
        <v>147</v>
      </c>
      <c r="B154" s="46" t="s">
        <v>157</v>
      </c>
      <c r="C154" s="202" t="s">
        <v>412</v>
      </c>
      <c r="D154" s="141" t="s">
        <v>639</v>
      </c>
      <c r="E154" s="48" t="s">
        <v>643</v>
      </c>
      <c r="F154" s="48">
        <f>15+169</f>
        <v>184</v>
      </c>
      <c r="G154" s="20"/>
      <c r="H154" s="20"/>
      <c r="I154" s="20"/>
      <c r="J154" s="51"/>
      <c r="K154" s="22"/>
      <c r="L154" s="188"/>
      <c r="M154" s="21">
        <v>0.21</v>
      </c>
      <c r="N154" s="20"/>
      <c r="O154" s="48"/>
      <c r="P154" s="40"/>
      <c r="Q154" s="20"/>
    </row>
    <row r="155" spans="1:18" ht="33" customHeight="1" x14ac:dyDescent="0.3">
      <c r="A155" s="141">
        <v>148</v>
      </c>
      <c r="B155" s="46" t="s">
        <v>192</v>
      </c>
      <c r="C155" s="202" t="s">
        <v>731</v>
      </c>
      <c r="D155" s="141" t="s">
        <v>639</v>
      </c>
      <c r="E155" s="48" t="s">
        <v>643</v>
      </c>
      <c r="F155" s="48">
        <f>4+0</f>
        <v>4</v>
      </c>
      <c r="G155" s="20"/>
      <c r="H155" s="20"/>
      <c r="I155" s="20"/>
      <c r="J155" s="53"/>
      <c r="K155" s="22"/>
      <c r="L155" s="188"/>
      <c r="M155" s="21">
        <v>0.21</v>
      </c>
      <c r="N155" s="20"/>
      <c r="O155" s="48"/>
      <c r="P155" s="40"/>
      <c r="Q155" s="63"/>
      <c r="R155" s="66">
        <v>9130112</v>
      </c>
    </row>
    <row r="156" spans="1:18" ht="28.8" customHeight="1" x14ac:dyDescent="0.3">
      <c r="A156" s="20">
        <v>149</v>
      </c>
      <c r="B156" s="46" t="s">
        <v>203</v>
      </c>
      <c r="C156" s="202" t="s">
        <v>415</v>
      </c>
      <c r="D156" s="141" t="s">
        <v>639</v>
      </c>
      <c r="E156" s="48" t="s">
        <v>643</v>
      </c>
      <c r="F156" s="48">
        <f>4+0</f>
        <v>4</v>
      </c>
      <c r="G156" s="20"/>
      <c r="H156" s="20"/>
      <c r="I156" s="20"/>
      <c r="J156" s="51"/>
      <c r="K156" s="22"/>
      <c r="L156" s="188"/>
      <c r="M156" s="21">
        <v>0.21</v>
      </c>
      <c r="N156" s="20"/>
      <c r="O156" s="48"/>
      <c r="P156" s="40"/>
      <c r="Q156" s="65"/>
      <c r="R156" s="66" t="s">
        <v>221</v>
      </c>
    </row>
    <row r="157" spans="1:18" ht="33" customHeight="1" thickBot="1" x14ac:dyDescent="0.35">
      <c r="A157" s="141">
        <v>150</v>
      </c>
      <c r="B157" s="68" t="s">
        <v>204</v>
      </c>
      <c r="C157" s="202" t="s">
        <v>417</v>
      </c>
      <c r="D157" s="141" t="s">
        <v>639</v>
      </c>
      <c r="E157" s="48" t="s">
        <v>643</v>
      </c>
      <c r="F157" s="67">
        <f>4+1</f>
        <v>5</v>
      </c>
      <c r="G157" s="67"/>
      <c r="H157" s="67"/>
      <c r="I157" s="67"/>
      <c r="J157" s="72"/>
      <c r="K157" s="69"/>
      <c r="L157" s="74"/>
      <c r="M157" s="94">
        <v>0.21</v>
      </c>
      <c r="N157" s="67"/>
      <c r="O157" s="67"/>
      <c r="P157" s="126"/>
      <c r="Q157" s="145"/>
      <c r="R157" s="66" t="s">
        <v>222</v>
      </c>
    </row>
    <row r="158" spans="1:18" ht="45.6" customHeight="1" thickBot="1" x14ac:dyDescent="0.35">
      <c r="A158" s="82"/>
      <c r="B158" s="104"/>
      <c r="C158" s="208" t="s">
        <v>419</v>
      </c>
      <c r="D158" s="83"/>
      <c r="E158" s="83"/>
      <c r="F158" s="83"/>
      <c r="G158" s="85"/>
      <c r="H158" s="85"/>
      <c r="I158" s="83"/>
      <c r="J158" s="86"/>
      <c r="K158" s="87"/>
      <c r="L158" s="86"/>
      <c r="M158" s="88"/>
      <c r="N158" s="89"/>
      <c r="O158" s="89"/>
      <c r="P158" s="90"/>
      <c r="Q158" s="84"/>
    </row>
    <row r="159" spans="1:18" ht="51" customHeight="1" x14ac:dyDescent="0.3">
      <c r="A159" s="141">
        <v>151</v>
      </c>
      <c r="B159" s="146" t="s">
        <v>218</v>
      </c>
      <c r="C159" s="202" t="s">
        <v>421</v>
      </c>
      <c r="D159" s="141" t="s">
        <v>639</v>
      </c>
      <c r="E159" s="34" t="s">
        <v>643</v>
      </c>
      <c r="F159" s="34">
        <f>100+0</f>
        <v>100</v>
      </c>
      <c r="G159" s="97"/>
      <c r="H159" s="97"/>
      <c r="I159" s="98"/>
      <c r="J159" s="127"/>
      <c r="K159" s="99"/>
      <c r="L159" s="187"/>
      <c r="M159" s="142">
        <v>0.21</v>
      </c>
      <c r="N159" s="100"/>
      <c r="O159" s="100"/>
      <c r="P159" s="128"/>
      <c r="Q159" s="101"/>
    </row>
    <row r="160" spans="1:18" ht="40.200000000000003" customHeight="1" x14ac:dyDescent="0.3">
      <c r="A160" s="20">
        <v>152</v>
      </c>
      <c r="B160" s="46" t="s">
        <v>220</v>
      </c>
      <c r="C160" s="202" t="s">
        <v>732</v>
      </c>
      <c r="D160" s="141" t="s">
        <v>639</v>
      </c>
      <c r="E160" s="48" t="s">
        <v>643</v>
      </c>
      <c r="F160" s="48">
        <f>600+850</f>
        <v>1450</v>
      </c>
      <c r="G160" s="20"/>
      <c r="H160" s="20"/>
      <c r="I160" s="20"/>
      <c r="J160" s="51"/>
      <c r="K160" s="22"/>
      <c r="L160" s="188"/>
      <c r="M160" s="21">
        <v>0.21</v>
      </c>
      <c r="N160" s="20"/>
      <c r="O160" s="48"/>
      <c r="P160" s="40"/>
      <c r="Q160" s="30"/>
    </row>
    <row r="161" spans="1:18" s="2" customFormat="1" ht="20.399999999999999" customHeight="1" x14ac:dyDescent="0.3">
      <c r="A161" s="141">
        <v>153</v>
      </c>
      <c r="B161" s="46" t="s">
        <v>125</v>
      </c>
      <c r="C161" s="202" t="s">
        <v>423</v>
      </c>
      <c r="D161" s="141" t="s">
        <v>639</v>
      </c>
      <c r="E161" s="48" t="s">
        <v>643</v>
      </c>
      <c r="F161" s="48">
        <f>150+0</f>
        <v>150</v>
      </c>
      <c r="G161" s="27"/>
      <c r="H161" s="27"/>
      <c r="I161" s="26"/>
      <c r="J161" s="53"/>
      <c r="K161" s="28"/>
      <c r="L161" s="188"/>
      <c r="M161" s="21">
        <v>0.21</v>
      </c>
      <c r="N161" s="29"/>
      <c r="O161" s="151"/>
      <c r="P161" s="39"/>
      <c r="Q161" s="30"/>
    </row>
    <row r="162" spans="1:18" s="2" customFormat="1" ht="61.8" customHeight="1" x14ac:dyDescent="0.3">
      <c r="A162" s="20">
        <v>154</v>
      </c>
      <c r="B162" s="46" t="s">
        <v>118</v>
      </c>
      <c r="C162" s="202" t="s">
        <v>425</v>
      </c>
      <c r="D162" s="141" t="s">
        <v>639</v>
      </c>
      <c r="E162" s="48" t="s">
        <v>643</v>
      </c>
      <c r="F162" s="48">
        <f>600+1270</f>
        <v>1870</v>
      </c>
      <c r="G162" s="27"/>
      <c r="H162" s="27"/>
      <c r="I162" s="26"/>
      <c r="J162" s="53"/>
      <c r="K162" s="28"/>
      <c r="L162" s="188"/>
      <c r="M162" s="21">
        <v>0.21</v>
      </c>
      <c r="N162" s="29"/>
      <c r="O162" s="151"/>
      <c r="P162" s="39"/>
      <c r="Q162" s="30"/>
    </row>
    <row r="163" spans="1:18" s="2" customFormat="1" ht="55.2" customHeight="1" x14ac:dyDescent="0.3">
      <c r="A163" s="141">
        <v>155</v>
      </c>
      <c r="B163" s="46" t="s">
        <v>119</v>
      </c>
      <c r="C163" s="202" t="s">
        <v>426</v>
      </c>
      <c r="D163" s="141" t="s">
        <v>639</v>
      </c>
      <c r="E163" s="48" t="s">
        <v>643</v>
      </c>
      <c r="F163" s="48">
        <f>200+2333</f>
        <v>2533</v>
      </c>
      <c r="G163" s="27"/>
      <c r="H163" s="27"/>
      <c r="I163" s="26"/>
      <c r="J163" s="53"/>
      <c r="K163" s="28"/>
      <c r="L163" s="188"/>
      <c r="M163" s="21">
        <v>0.21</v>
      </c>
      <c r="N163" s="29"/>
      <c r="O163" s="151"/>
      <c r="P163" s="39"/>
      <c r="Q163" s="30"/>
    </row>
    <row r="164" spans="1:18" s="2" customFormat="1" ht="21.6" customHeight="1" thickBot="1" x14ac:dyDescent="0.35">
      <c r="A164" s="20">
        <v>156</v>
      </c>
      <c r="B164" s="68" t="s">
        <v>120</v>
      </c>
      <c r="C164" s="202" t="s">
        <v>428</v>
      </c>
      <c r="D164" s="141" t="s">
        <v>639</v>
      </c>
      <c r="E164" s="48" t="s">
        <v>643</v>
      </c>
      <c r="F164" s="67">
        <f>10+177</f>
        <v>187</v>
      </c>
      <c r="G164" s="70"/>
      <c r="H164" s="70"/>
      <c r="I164" s="71"/>
      <c r="J164" s="72"/>
      <c r="K164" s="73"/>
      <c r="L164" s="74"/>
      <c r="M164" s="94">
        <v>0.21</v>
      </c>
      <c r="N164" s="95"/>
      <c r="O164" s="95"/>
      <c r="P164" s="96"/>
      <c r="Q164" s="78"/>
    </row>
    <row r="165" spans="1:18" ht="15" thickBot="1" x14ac:dyDescent="0.35">
      <c r="A165" s="132"/>
      <c r="B165" s="135"/>
      <c r="C165" s="167" t="s">
        <v>430</v>
      </c>
      <c r="D165" s="134"/>
      <c r="E165" s="135"/>
      <c r="F165" s="135"/>
      <c r="G165" s="136"/>
      <c r="H165" s="136"/>
      <c r="I165" s="134"/>
      <c r="J165" s="137"/>
      <c r="K165" s="138"/>
      <c r="L165" s="139"/>
      <c r="M165" s="139"/>
      <c r="N165" s="140"/>
      <c r="O165" s="140"/>
      <c r="P165" s="90"/>
      <c r="Q165" s="90"/>
    </row>
    <row r="166" spans="1:18" ht="22.8" customHeight="1" x14ac:dyDescent="0.3">
      <c r="A166" s="141">
        <v>157</v>
      </c>
      <c r="B166" s="146" t="s">
        <v>127</v>
      </c>
      <c r="C166" s="202" t="s">
        <v>432</v>
      </c>
      <c r="D166" s="141" t="s">
        <v>639</v>
      </c>
      <c r="E166" s="34" t="s">
        <v>643</v>
      </c>
      <c r="F166" s="34">
        <f>10+167</f>
        <v>177</v>
      </c>
      <c r="G166" s="97"/>
      <c r="H166" s="97"/>
      <c r="I166" s="98"/>
      <c r="J166" s="127"/>
      <c r="K166" s="99"/>
      <c r="L166" s="187"/>
      <c r="M166" s="36">
        <v>0.21</v>
      </c>
      <c r="N166" s="100"/>
      <c r="O166" s="100"/>
      <c r="P166" s="128"/>
      <c r="Q166" s="101"/>
      <c r="R166" s="66">
        <v>185246</v>
      </c>
    </row>
    <row r="167" spans="1:18" ht="44.4" customHeight="1" x14ac:dyDescent="0.3">
      <c r="A167" s="20">
        <v>158</v>
      </c>
      <c r="B167" s="46" t="s">
        <v>128</v>
      </c>
      <c r="C167" s="202" t="s">
        <v>434</v>
      </c>
      <c r="D167" s="22" t="s">
        <v>639</v>
      </c>
      <c r="E167" s="48" t="s">
        <v>643</v>
      </c>
      <c r="F167" s="48">
        <f>10+91</f>
        <v>101</v>
      </c>
      <c r="G167" s="27"/>
      <c r="H167" s="27"/>
      <c r="I167" s="26"/>
      <c r="J167" s="53"/>
      <c r="K167" s="28"/>
      <c r="L167" s="188"/>
      <c r="M167" s="21">
        <v>0.21</v>
      </c>
      <c r="N167" s="29"/>
      <c r="O167" s="151"/>
      <c r="P167" s="39"/>
      <c r="Q167" s="30"/>
      <c r="R167" s="66">
        <v>2516506</v>
      </c>
    </row>
    <row r="168" spans="1:18" ht="35.4" customHeight="1" x14ac:dyDescent="0.3">
      <c r="A168" s="20">
        <v>159</v>
      </c>
      <c r="B168" s="46" t="s">
        <v>129</v>
      </c>
      <c r="C168" s="202" t="s">
        <v>436</v>
      </c>
      <c r="D168" s="22" t="s">
        <v>639</v>
      </c>
      <c r="E168" s="48" t="s">
        <v>643</v>
      </c>
      <c r="F168" s="48">
        <f>10+31</f>
        <v>41</v>
      </c>
      <c r="G168" s="27"/>
      <c r="H168" s="27"/>
      <c r="I168" s="26"/>
      <c r="J168" s="53"/>
      <c r="K168" s="28"/>
      <c r="L168" s="188"/>
      <c r="M168" s="21">
        <v>0.21</v>
      </c>
      <c r="N168" s="29"/>
      <c r="O168" s="151"/>
      <c r="P168" s="39"/>
      <c r="Q168" s="30"/>
      <c r="R168" s="66">
        <v>2794027</v>
      </c>
    </row>
    <row r="169" spans="1:18" ht="44.4" customHeight="1" x14ac:dyDescent="0.3">
      <c r="A169" s="20">
        <v>160</v>
      </c>
      <c r="B169" s="46" t="s">
        <v>158</v>
      </c>
      <c r="C169" s="202" t="s">
        <v>438</v>
      </c>
      <c r="D169" s="22" t="s">
        <v>639</v>
      </c>
      <c r="E169" s="48" t="s">
        <v>643</v>
      </c>
      <c r="F169" s="48">
        <f>40+149</f>
        <v>189</v>
      </c>
      <c r="G169" s="20"/>
      <c r="H169" s="20"/>
      <c r="I169" s="20"/>
      <c r="J169" s="51"/>
      <c r="K169" s="22"/>
      <c r="L169" s="188"/>
      <c r="M169" s="21">
        <v>0.21</v>
      </c>
      <c r="N169" s="20"/>
      <c r="O169" s="48"/>
      <c r="P169" s="40"/>
      <c r="Q169" s="20"/>
    </row>
    <row r="170" spans="1:18" ht="44.4" customHeight="1" x14ac:dyDescent="0.3">
      <c r="A170" s="20">
        <v>161</v>
      </c>
      <c r="B170" s="46" t="s">
        <v>159</v>
      </c>
      <c r="C170" s="202" t="s">
        <v>440</v>
      </c>
      <c r="D170" s="22" t="s">
        <v>639</v>
      </c>
      <c r="E170" s="48" t="s">
        <v>643</v>
      </c>
      <c r="F170" s="48">
        <f>50+2840</f>
        <v>2890</v>
      </c>
      <c r="G170" s="20"/>
      <c r="H170" s="20"/>
      <c r="I170" s="20"/>
      <c r="J170" s="53"/>
      <c r="K170" s="22"/>
      <c r="L170" s="188"/>
      <c r="M170" s="21">
        <v>0.21</v>
      </c>
      <c r="N170" s="20"/>
      <c r="O170" s="48"/>
      <c r="P170" s="61" t="s">
        <v>664</v>
      </c>
      <c r="Q170" s="20"/>
    </row>
    <row r="171" spans="1:18" ht="44.4" customHeight="1" x14ac:dyDescent="0.3">
      <c r="A171" s="20">
        <v>162</v>
      </c>
      <c r="B171" s="46" t="s">
        <v>160</v>
      </c>
      <c r="C171" s="202" t="s">
        <v>442</v>
      </c>
      <c r="D171" s="22" t="s">
        <v>639</v>
      </c>
      <c r="E171" s="48" t="s">
        <v>643</v>
      </c>
      <c r="F171" s="48">
        <f>50+473</f>
        <v>523</v>
      </c>
      <c r="G171" s="20"/>
      <c r="H171" s="20"/>
      <c r="I171" s="20"/>
      <c r="J171" s="51"/>
      <c r="K171" s="22"/>
      <c r="L171" s="188"/>
      <c r="M171" s="21">
        <v>0.21</v>
      </c>
      <c r="N171" s="20"/>
      <c r="O171" s="48"/>
      <c r="P171" s="61" t="s">
        <v>664</v>
      </c>
      <c r="Q171" s="20"/>
    </row>
    <row r="172" spans="1:18" ht="44.4" customHeight="1" x14ac:dyDescent="0.3">
      <c r="A172" s="20">
        <v>163</v>
      </c>
      <c r="B172" s="46" t="s">
        <v>161</v>
      </c>
      <c r="C172" s="202" t="s">
        <v>444</v>
      </c>
      <c r="D172" s="22" t="s">
        <v>639</v>
      </c>
      <c r="E172" s="48" t="s">
        <v>643</v>
      </c>
      <c r="F172" s="48">
        <f>30+0</f>
        <v>30</v>
      </c>
      <c r="G172" s="20"/>
      <c r="H172" s="20"/>
      <c r="I172" s="20"/>
      <c r="J172" s="53"/>
      <c r="K172" s="22"/>
      <c r="L172" s="188"/>
      <c r="M172" s="21">
        <v>0.21</v>
      </c>
      <c r="N172" s="20"/>
      <c r="O172" s="48"/>
      <c r="P172" s="61" t="s">
        <v>665</v>
      </c>
      <c r="Q172" s="20"/>
    </row>
    <row r="173" spans="1:18" ht="31.8" customHeight="1" x14ac:dyDescent="0.3">
      <c r="A173" s="20">
        <v>164</v>
      </c>
      <c r="B173" s="46" t="s">
        <v>162</v>
      </c>
      <c r="C173" s="202" t="s">
        <v>446</v>
      </c>
      <c r="D173" s="22" t="s">
        <v>639</v>
      </c>
      <c r="E173" s="48" t="s">
        <v>643</v>
      </c>
      <c r="F173" s="48">
        <f>100+432</f>
        <v>532</v>
      </c>
      <c r="G173" s="20"/>
      <c r="H173" s="20"/>
      <c r="I173" s="20"/>
      <c r="J173" s="51"/>
      <c r="K173" s="22"/>
      <c r="L173" s="188"/>
      <c r="M173" s="21">
        <v>0.21</v>
      </c>
      <c r="N173" s="20"/>
      <c r="O173" s="48"/>
      <c r="P173" s="61" t="s">
        <v>666</v>
      </c>
      <c r="Q173" s="20"/>
    </row>
    <row r="174" spans="1:18" ht="30" customHeight="1" x14ac:dyDescent="0.3">
      <c r="A174" s="20">
        <v>165</v>
      </c>
      <c r="B174" s="46" t="s">
        <v>163</v>
      </c>
      <c r="C174" s="202" t="s">
        <v>448</v>
      </c>
      <c r="D174" s="22" t="s">
        <v>639</v>
      </c>
      <c r="E174" s="48" t="s">
        <v>643</v>
      </c>
      <c r="F174" s="48">
        <f>100+561</f>
        <v>661</v>
      </c>
      <c r="G174" s="20"/>
      <c r="H174" s="20"/>
      <c r="I174" s="20"/>
      <c r="J174" s="53"/>
      <c r="K174" s="22"/>
      <c r="L174" s="188"/>
      <c r="M174" s="21">
        <v>0.21</v>
      </c>
      <c r="N174" s="20"/>
      <c r="O174" s="48"/>
      <c r="P174" s="61" t="s">
        <v>666</v>
      </c>
      <c r="Q174" s="20"/>
    </row>
    <row r="175" spans="1:18" ht="26.4" customHeight="1" x14ac:dyDescent="0.3">
      <c r="A175" s="20">
        <v>166</v>
      </c>
      <c r="B175" s="46" t="s">
        <v>164</v>
      </c>
      <c r="C175" s="202" t="s">
        <v>450</v>
      </c>
      <c r="D175" s="22" t="s">
        <v>639</v>
      </c>
      <c r="E175" s="48" t="s">
        <v>643</v>
      </c>
      <c r="F175" s="48">
        <f>50+0</f>
        <v>50</v>
      </c>
      <c r="G175" s="20"/>
      <c r="H175" s="20"/>
      <c r="I175" s="20"/>
      <c r="J175" s="51"/>
      <c r="K175" s="22"/>
      <c r="L175" s="188"/>
      <c r="M175" s="21">
        <v>0.21</v>
      </c>
      <c r="N175" s="20"/>
      <c r="O175" s="48"/>
      <c r="P175" s="40"/>
      <c r="Q175" s="20"/>
    </row>
    <row r="176" spans="1:18" ht="27" customHeight="1" x14ac:dyDescent="0.3">
      <c r="A176" s="20">
        <v>167</v>
      </c>
      <c r="B176" s="46" t="s">
        <v>165</v>
      </c>
      <c r="C176" s="202" t="s">
        <v>452</v>
      </c>
      <c r="D176" s="22" t="s">
        <v>639</v>
      </c>
      <c r="E176" s="48" t="s">
        <v>643</v>
      </c>
      <c r="F176" s="48">
        <f>50+0</f>
        <v>50</v>
      </c>
      <c r="G176" s="20"/>
      <c r="H176" s="20"/>
      <c r="I176" s="20"/>
      <c r="J176" s="53"/>
      <c r="K176" s="22"/>
      <c r="L176" s="188"/>
      <c r="M176" s="21">
        <v>0.21</v>
      </c>
      <c r="N176" s="20"/>
      <c r="O176" s="48"/>
      <c r="P176" s="40"/>
      <c r="Q176" s="20"/>
    </row>
    <row r="177" spans="1:18" ht="25.8" customHeight="1" x14ac:dyDescent="0.3">
      <c r="A177" s="20">
        <v>168</v>
      </c>
      <c r="B177" s="46" t="s">
        <v>166</v>
      </c>
      <c r="C177" s="202" t="s">
        <v>454</v>
      </c>
      <c r="D177" s="22" t="s">
        <v>639</v>
      </c>
      <c r="E177" s="48" t="s">
        <v>643</v>
      </c>
      <c r="F177" s="48">
        <f>10+0</f>
        <v>10</v>
      </c>
      <c r="G177" s="20"/>
      <c r="H177" s="20"/>
      <c r="I177" s="20"/>
      <c r="J177" s="51"/>
      <c r="K177" s="22"/>
      <c r="L177" s="188"/>
      <c r="M177" s="21">
        <v>0.21</v>
      </c>
      <c r="N177" s="20"/>
      <c r="O177" s="48"/>
      <c r="P177" s="40"/>
      <c r="Q177" s="20"/>
    </row>
    <row r="178" spans="1:18" ht="32.4" customHeight="1" x14ac:dyDescent="0.3">
      <c r="A178" s="20">
        <v>169</v>
      </c>
      <c r="B178" s="46" t="s">
        <v>167</v>
      </c>
      <c r="C178" s="202" t="s">
        <v>456</v>
      </c>
      <c r="D178" s="22" t="s">
        <v>639</v>
      </c>
      <c r="E178" s="48" t="s">
        <v>643</v>
      </c>
      <c r="F178" s="48">
        <f>20+48</f>
        <v>68</v>
      </c>
      <c r="G178" s="20"/>
      <c r="H178" s="20"/>
      <c r="I178" s="20"/>
      <c r="J178" s="53"/>
      <c r="K178" s="22"/>
      <c r="L178" s="188"/>
      <c r="M178" s="21">
        <v>0.21</v>
      </c>
      <c r="N178" s="20"/>
      <c r="O178" s="48"/>
      <c r="P178" s="40"/>
      <c r="Q178" s="20"/>
    </row>
    <row r="179" spans="1:18" ht="37.799999999999997" customHeight="1" x14ac:dyDescent="0.3">
      <c r="A179" s="20">
        <v>170</v>
      </c>
      <c r="B179" s="46" t="s">
        <v>168</v>
      </c>
      <c r="C179" s="202" t="s">
        <v>458</v>
      </c>
      <c r="D179" s="22" t="s">
        <v>639</v>
      </c>
      <c r="E179" s="48" t="s">
        <v>643</v>
      </c>
      <c r="F179" s="48">
        <f>20+61</f>
        <v>81</v>
      </c>
      <c r="G179" s="20"/>
      <c r="H179" s="20"/>
      <c r="I179" s="20"/>
      <c r="J179" s="51"/>
      <c r="K179" s="22"/>
      <c r="L179" s="188"/>
      <c r="M179" s="21">
        <v>0.21</v>
      </c>
      <c r="N179" s="20"/>
      <c r="O179" s="48"/>
      <c r="P179" s="40"/>
      <c r="Q179" s="20"/>
    </row>
    <row r="180" spans="1:18" ht="48" customHeight="1" x14ac:dyDescent="0.3">
      <c r="A180" s="20">
        <v>171</v>
      </c>
      <c r="B180" s="46" t="s">
        <v>171</v>
      </c>
      <c r="C180" s="202" t="s">
        <v>460</v>
      </c>
      <c r="D180" s="22" t="s">
        <v>639</v>
      </c>
      <c r="E180" s="48" t="s">
        <v>643</v>
      </c>
      <c r="F180" s="48">
        <f>60+2948</f>
        <v>3008</v>
      </c>
      <c r="G180" s="20"/>
      <c r="H180" s="20"/>
      <c r="I180" s="20"/>
      <c r="J180" s="51"/>
      <c r="K180" s="22"/>
      <c r="L180" s="188"/>
      <c r="M180" s="21">
        <v>0.21</v>
      </c>
      <c r="N180" s="20"/>
      <c r="O180" s="48"/>
      <c r="P180" s="61" t="s">
        <v>668</v>
      </c>
      <c r="Q180" s="20"/>
    </row>
    <row r="181" spans="1:18" ht="31.8" customHeight="1" x14ac:dyDescent="0.3">
      <c r="A181" s="20">
        <v>172</v>
      </c>
      <c r="B181" s="46" t="s">
        <v>172</v>
      </c>
      <c r="C181" s="202" t="s">
        <v>462</v>
      </c>
      <c r="D181" s="22" t="s">
        <v>639</v>
      </c>
      <c r="E181" s="48" t="s">
        <v>643</v>
      </c>
      <c r="F181" s="48">
        <f>40+720</f>
        <v>760</v>
      </c>
      <c r="G181" s="20"/>
      <c r="H181" s="20"/>
      <c r="I181" s="20"/>
      <c r="J181" s="51"/>
      <c r="K181" s="22"/>
      <c r="L181" s="188"/>
      <c r="M181" s="21">
        <v>0.21</v>
      </c>
      <c r="N181" s="20"/>
      <c r="O181" s="48"/>
      <c r="P181" s="40"/>
      <c r="Q181" s="20"/>
    </row>
    <row r="182" spans="1:18" ht="14.4" x14ac:dyDescent="0.3">
      <c r="A182" s="20">
        <v>173</v>
      </c>
      <c r="B182" s="46" t="s">
        <v>173</v>
      </c>
      <c r="C182" s="202" t="s">
        <v>464</v>
      </c>
      <c r="D182" s="22" t="s">
        <v>639</v>
      </c>
      <c r="E182" s="48" t="s">
        <v>643</v>
      </c>
      <c r="F182" s="48">
        <f>40+0</f>
        <v>40</v>
      </c>
      <c r="G182" s="20"/>
      <c r="H182" s="20"/>
      <c r="I182" s="20"/>
      <c r="J182" s="53"/>
      <c r="K182" s="22"/>
      <c r="L182" s="188"/>
      <c r="M182" s="21">
        <v>0.21</v>
      </c>
      <c r="N182" s="20"/>
      <c r="O182" s="48"/>
      <c r="P182" s="40"/>
      <c r="Q182" s="20"/>
      <c r="R182" s="66">
        <v>327305</v>
      </c>
    </row>
    <row r="183" spans="1:18" ht="22.2" customHeight="1" x14ac:dyDescent="0.3">
      <c r="A183" s="20">
        <v>174</v>
      </c>
      <c r="B183" s="46" t="s">
        <v>174</v>
      </c>
      <c r="C183" s="202" t="s">
        <v>466</v>
      </c>
      <c r="D183" s="22" t="s">
        <v>639</v>
      </c>
      <c r="E183" s="48" t="s">
        <v>643</v>
      </c>
      <c r="F183" s="48">
        <f>75+468</f>
        <v>543</v>
      </c>
      <c r="G183" s="20"/>
      <c r="H183" s="20"/>
      <c r="I183" s="20"/>
      <c r="J183" s="53"/>
      <c r="K183" s="22"/>
      <c r="L183" s="188"/>
      <c r="M183" s="21">
        <v>0.21</v>
      </c>
      <c r="N183" s="20"/>
      <c r="O183" s="48"/>
      <c r="P183" s="40"/>
      <c r="Q183" s="20"/>
      <c r="R183" s="66">
        <v>327293</v>
      </c>
    </row>
    <row r="184" spans="1:18" ht="28.8" customHeight="1" x14ac:dyDescent="0.3">
      <c r="A184" s="20">
        <v>175</v>
      </c>
      <c r="B184" s="46" t="s">
        <v>175</v>
      </c>
      <c r="C184" s="202" t="s">
        <v>468</v>
      </c>
      <c r="D184" s="22" t="s">
        <v>639</v>
      </c>
      <c r="E184" s="48" t="s">
        <v>643</v>
      </c>
      <c r="F184" s="48">
        <f>15+425</f>
        <v>440</v>
      </c>
      <c r="G184" s="20"/>
      <c r="H184" s="20"/>
      <c r="I184" s="20"/>
      <c r="J184" s="53"/>
      <c r="K184" s="22"/>
      <c r="L184" s="188"/>
      <c r="M184" s="21">
        <v>0.21</v>
      </c>
      <c r="N184" s="20"/>
      <c r="O184" s="48"/>
      <c r="P184" s="40"/>
      <c r="Q184" s="20"/>
    </row>
    <row r="185" spans="1:18" ht="30" customHeight="1" x14ac:dyDescent="0.3">
      <c r="A185" s="20">
        <v>176</v>
      </c>
      <c r="B185" s="46" t="s">
        <v>176</v>
      </c>
      <c r="C185" s="202" t="s">
        <v>470</v>
      </c>
      <c r="D185" s="22" t="s">
        <v>639</v>
      </c>
      <c r="E185" s="48" t="s">
        <v>643</v>
      </c>
      <c r="F185" s="48">
        <f>10+0</f>
        <v>10</v>
      </c>
      <c r="G185" s="20"/>
      <c r="H185" s="20"/>
      <c r="I185" s="20"/>
      <c r="J185" s="51"/>
      <c r="K185" s="22"/>
      <c r="L185" s="188"/>
      <c r="M185" s="21">
        <v>0.21</v>
      </c>
      <c r="N185" s="20"/>
      <c r="O185" s="48"/>
      <c r="P185" s="40"/>
      <c r="Q185" s="20"/>
    </row>
    <row r="186" spans="1:18" ht="42.6" customHeight="1" x14ac:dyDescent="0.3">
      <c r="A186" s="20">
        <v>177</v>
      </c>
      <c r="B186" s="46" t="s">
        <v>177</v>
      </c>
      <c r="C186" s="202" t="s">
        <v>472</v>
      </c>
      <c r="D186" s="22" t="s">
        <v>639</v>
      </c>
      <c r="E186" s="48" t="s">
        <v>643</v>
      </c>
      <c r="F186" s="48">
        <f>20+663</f>
        <v>683</v>
      </c>
      <c r="G186" s="20"/>
      <c r="H186" s="20"/>
      <c r="I186" s="20"/>
      <c r="J186" s="53"/>
      <c r="K186" s="22"/>
      <c r="L186" s="188"/>
      <c r="M186" s="21">
        <v>0.21</v>
      </c>
      <c r="N186" s="20"/>
      <c r="O186" s="48"/>
      <c r="P186" s="40"/>
      <c r="Q186" s="20"/>
    </row>
    <row r="187" spans="1:18" ht="25.8" customHeight="1" x14ac:dyDescent="0.3">
      <c r="A187" s="20">
        <v>178</v>
      </c>
      <c r="B187" s="60" t="s">
        <v>178</v>
      </c>
      <c r="C187" s="202" t="s">
        <v>474</v>
      </c>
      <c r="D187" s="22" t="s">
        <v>639</v>
      </c>
      <c r="E187" s="48" t="s">
        <v>643</v>
      </c>
      <c r="F187" s="48">
        <f>20+0</f>
        <v>20</v>
      </c>
      <c r="G187" s="20"/>
      <c r="H187" s="20"/>
      <c r="I187" s="20"/>
      <c r="J187" s="53"/>
      <c r="K187" s="22"/>
      <c r="L187" s="188"/>
      <c r="M187" s="21">
        <v>0.21</v>
      </c>
      <c r="N187" s="20"/>
      <c r="O187" s="48"/>
      <c r="P187" s="40"/>
      <c r="Q187" s="20"/>
    </row>
    <row r="188" spans="1:18" ht="34.200000000000003" customHeight="1" x14ac:dyDescent="0.3">
      <c r="A188" s="20">
        <v>179</v>
      </c>
      <c r="B188" s="60" t="s">
        <v>179</v>
      </c>
      <c r="C188" s="202" t="s">
        <v>476</v>
      </c>
      <c r="D188" s="22" t="s">
        <v>639</v>
      </c>
      <c r="E188" s="48" t="s">
        <v>643</v>
      </c>
      <c r="F188" s="48">
        <f>10+84</f>
        <v>94</v>
      </c>
      <c r="G188" s="20"/>
      <c r="H188" s="20"/>
      <c r="I188" s="20"/>
      <c r="J188" s="51"/>
      <c r="K188" s="22"/>
      <c r="L188" s="188"/>
      <c r="M188" s="21">
        <v>0.21</v>
      </c>
      <c r="N188" s="20"/>
      <c r="O188" s="48"/>
      <c r="P188" s="40"/>
      <c r="Q188" s="20"/>
    </row>
    <row r="189" spans="1:18" ht="28.8" customHeight="1" x14ac:dyDescent="0.3">
      <c r="A189" s="20">
        <v>180</v>
      </c>
      <c r="B189" s="60" t="s">
        <v>180</v>
      </c>
      <c r="C189" s="202" t="s">
        <v>478</v>
      </c>
      <c r="D189" s="22" t="s">
        <v>639</v>
      </c>
      <c r="E189" s="48" t="s">
        <v>643</v>
      </c>
      <c r="F189" s="48">
        <f>20+137</f>
        <v>157</v>
      </c>
      <c r="G189" s="20"/>
      <c r="H189" s="20"/>
      <c r="I189" s="20"/>
      <c r="J189" s="53"/>
      <c r="K189" s="22"/>
      <c r="L189" s="188"/>
      <c r="M189" s="21">
        <v>0.21</v>
      </c>
      <c r="N189" s="20"/>
      <c r="O189" s="48"/>
      <c r="P189" s="40"/>
      <c r="Q189" s="20"/>
    </row>
    <row r="190" spans="1:18" ht="14.4" x14ac:dyDescent="0.3">
      <c r="A190" s="20">
        <v>181</v>
      </c>
      <c r="B190" s="60" t="s">
        <v>181</v>
      </c>
      <c r="C190" s="202" t="s">
        <v>480</v>
      </c>
      <c r="D190" s="22" t="s">
        <v>639</v>
      </c>
      <c r="E190" s="48" t="s">
        <v>643</v>
      </c>
      <c r="F190" s="48">
        <f>30+116</f>
        <v>146</v>
      </c>
      <c r="G190" s="20"/>
      <c r="H190" s="20"/>
      <c r="I190" s="20"/>
      <c r="J190" s="51"/>
      <c r="K190" s="22"/>
      <c r="L190" s="188"/>
      <c r="M190" s="21">
        <v>0.21</v>
      </c>
      <c r="N190" s="20"/>
      <c r="O190" s="48"/>
      <c r="P190" s="40"/>
      <c r="Q190" s="20"/>
    </row>
    <row r="191" spans="1:18" ht="18.600000000000001" customHeight="1" x14ac:dyDescent="0.3">
      <c r="A191" s="20">
        <v>182</v>
      </c>
      <c r="B191" s="60" t="s">
        <v>182</v>
      </c>
      <c r="C191" s="202" t="s">
        <v>482</v>
      </c>
      <c r="D191" s="22" t="s">
        <v>639</v>
      </c>
      <c r="E191" s="48" t="s">
        <v>643</v>
      </c>
      <c r="F191" s="48">
        <f>20+265</f>
        <v>285</v>
      </c>
      <c r="G191" s="20"/>
      <c r="H191" s="20"/>
      <c r="I191" s="20"/>
      <c r="J191" s="53"/>
      <c r="K191" s="22"/>
      <c r="L191" s="188"/>
      <c r="M191" s="21">
        <v>0.21</v>
      </c>
      <c r="N191" s="20"/>
      <c r="O191" s="48"/>
      <c r="P191" s="40"/>
      <c r="Q191" s="20"/>
    </row>
    <row r="192" spans="1:18" ht="30.6" customHeight="1" x14ac:dyDescent="0.3">
      <c r="A192" s="20">
        <v>183</v>
      </c>
      <c r="B192" s="60" t="s">
        <v>183</v>
      </c>
      <c r="C192" s="202" t="s">
        <v>484</v>
      </c>
      <c r="D192" s="22" t="s">
        <v>639</v>
      </c>
      <c r="E192" s="48" t="s">
        <v>643</v>
      </c>
      <c r="F192" s="48">
        <f>100+2069</f>
        <v>2169</v>
      </c>
      <c r="G192" s="20"/>
      <c r="H192" s="20"/>
      <c r="I192" s="20"/>
      <c r="J192" s="53"/>
      <c r="K192" s="22"/>
      <c r="L192" s="188"/>
      <c r="M192" s="21">
        <v>0.21</v>
      </c>
      <c r="N192" s="20"/>
      <c r="O192" s="48"/>
      <c r="P192" s="40"/>
      <c r="Q192" s="20"/>
    </row>
    <row r="193" spans="1:18" s="25" customFormat="1" ht="31.8" customHeight="1" x14ac:dyDescent="0.3">
      <c r="A193" s="22">
        <v>184</v>
      </c>
      <c r="B193" s="60" t="s">
        <v>184</v>
      </c>
      <c r="C193" s="205" t="s">
        <v>486</v>
      </c>
      <c r="D193" s="22" t="s">
        <v>639</v>
      </c>
      <c r="E193" s="48" t="s">
        <v>643</v>
      </c>
      <c r="F193" s="152">
        <f>200+212</f>
        <v>412</v>
      </c>
      <c r="G193" s="154"/>
      <c r="H193" s="154"/>
      <c r="I193" s="154"/>
      <c r="J193" s="53"/>
      <c r="K193" s="22"/>
      <c r="L193" s="188"/>
      <c r="M193" s="24">
        <v>0.21</v>
      </c>
      <c r="N193" s="22"/>
      <c r="O193" s="152"/>
      <c r="P193" s="61" t="s">
        <v>667</v>
      </c>
      <c r="Q193" s="22"/>
      <c r="R193" s="191">
        <v>6463885</v>
      </c>
    </row>
    <row r="194" spans="1:18" ht="14.4" x14ac:dyDescent="0.3">
      <c r="A194" s="20">
        <v>185</v>
      </c>
      <c r="B194" s="60" t="s">
        <v>185</v>
      </c>
      <c r="C194" s="202" t="s">
        <v>488</v>
      </c>
      <c r="D194" s="22" t="s">
        <v>639</v>
      </c>
      <c r="E194" s="48" t="s">
        <v>643</v>
      </c>
      <c r="F194" s="152">
        <f>15+117</f>
        <v>132</v>
      </c>
      <c r="G194" s="20"/>
      <c r="H194" s="20"/>
      <c r="I194" s="20"/>
      <c r="J194" s="51"/>
      <c r="K194" s="22"/>
      <c r="L194" s="188"/>
      <c r="M194" s="21">
        <v>0.21</v>
      </c>
      <c r="N194" s="20"/>
      <c r="O194" s="48"/>
      <c r="P194" s="61" t="s">
        <v>667</v>
      </c>
      <c r="Q194" s="20"/>
      <c r="R194" s="66"/>
    </row>
    <row r="195" spans="1:18" ht="14.4" x14ac:dyDescent="0.3">
      <c r="A195" s="20">
        <v>186</v>
      </c>
      <c r="B195" s="60" t="s">
        <v>186</v>
      </c>
      <c r="C195" s="202" t="s">
        <v>490</v>
      </c>
      <c r="D195" s="22" t="s">
        <v>639</v>
      </c>
      <c r="E195" s="48" t="s">
        <v>643</v>
      </c>
      <c r="F195" s="48">
        <f>1000+2190</f>
        <v>3190</v>
      </c>
      <c r="G195" s="20"/>
      <c r="H195" s="20"/>
      <c r="I195" s="20"/>
      <c r="J195" s="53"/>
      <c r="K195" s="22"/>
      <c r="L195" s="188"/>
      <c r="M195" s="21">
        <v>0.21</v>
      </c>
      <c r="N195" s="20"/>
      <c r="O195" s="48"/>
      <c r="P195" s="40"/>
      <c r="Q195" s="20"/>
      <c r="R195" s="66"/>
    </row>
    <row r="196" spans="1:18" ht="14.4" x14ac:dyDescent="0.3">
      <c r="A196" s="20">
        <v>187</v>
      </c>
      <c r="B196" s="60" t="s">
        <v>187</v>
      </c>
      <c r="C196" s="202" t="s">
        <v>492</v>
      </c>
      <c r="D196" s="22" t="s">
        <v>639</v>
      </c>
      <c r="E196" s="48" t="s">
        <v>643</v>
      </c>
      <c r="F196" s="48">
        <f>1000+0</f>
        <v>1000</v>
      </c>
      <c r="G196" s="20"/>
      <c r="H196" s="20"/>
      <c r="I196" s="20"/>
      <c r="J196" s="51"/>
      <c r="K196" s="22"/>
      <c r="L196" s="188"/>
      <c r="M196" s="21">
        <v>0.21</v>
      </c>
      <c r="N196" s="20"/>
      <c r="O196" s="48"/>
      <c r="P196" s="40"/>
      <c r="Q196" s="20"/>
      <c r="R196" s="66"/>
    </row>
    <row r="197" spans="1:18" ht="14.4" x14ac:dyDescent="0.3">
      <c r="A197" s="20">
        <v>188</v>
      </c>
      <c r="B197" s="60" t="s">
        <v>188</v>
      </c>
      <c r="C197" s="202" t="s">
        <v>493</v>
      </c>
      <c r="D197" s="22" t="s">
        <v>639</v>
      </c>
      <c r="E197" s="48" t="s">
        <v>643</v>
      </c>
      <c r="F197" s="48">
        <f>20+140</f>
        <v>160</v>
      </c>
      <c r="G197" s="20"/>
      <c r="H197" s="20"/>
      <c r="I197" s="20"/>
      <c r="J197" s="51"/>
      <c r="K197" s="22"/>
      <c r="L197" s="188"/>
      <c r="M197" s="21">
        <v>0.21</v>
      </c>
      <c r="N197" s="20"/>
      <c r="O197" s="48"/>
      <c r="P197" s="40"/>
      <c r="Q197" s="20"/>
      <c r="R197" s="66">
        <v>3778006</v>
      </c>
    </row>
    <row r="198" spans="1:18" ht="14.4" x14ac:dyDescent="0.3">
      <c r="A198" s="20">
        <v>189</v>
      </c>
      <c r="B198" s="60" t="s">
        <v>189</v>
      </c>
      <c r="C198" s="202" t="s">
        <v>495</v>
      </c>
      <c r="D198" s="22" t="s">
        <v>639</v>
      </c>
      <c r="E198" s="48" t="s">
        <v>643</v>
      </c>
      <c r="F198" s="48">
        <f>20+84</f>
        <v>104</v>
      </c>
      <c r="G198" s="20"/>
      <c r="H198" s="20"/>
      <c r="I198" s="20"/>
      <c r="J198" s="53"/>
      <c r="K198" s="22"/>
      <c r="L198" s="188"/>
      <c r="M198" s="21">
        <v>0.21</v>
      </c>
      <c r="N198" s="20"/>
      <c r="O198" s="48"/>
      <c r="P198" s="40"/>
      <c r="Q198" s="20"/>
      <c r="R198" s="66">
        <v>7510043</v>
      </c>
    </row>
    <row r="199" spans="1:18" ht="40.200000000000003" customHeight="1" x14ac:dyDescent="0.3">
      <c r="A199" s="20">
        <v>190</v>
      </c>
      <c r="B199" s="60" t="s">
        <v>190</v>
      </c>
      <c r="C199" s="202" t="s">
        <v>735</v>
      </c>
      <c r="D199" s="22" t="s">
        <v>639</v>
      </c>
      <c r="E199" s="48" t="s">
        <v>643</v>
      </c>
      <c r="F199" s="48">
        <f>50+30</f>
        <v>80</v>
      </c>
      <c r="G199" s="20"/>
      <c r="H199" s="20"/>
      <c r="I199" s="20"/>
      <c r="J199" s="51"/>
      <c r="K199" s="22"/>
      <c r="L199" s="188"/>
      <c r="M199" s="21">
        <v>0.21</v>
      </c>
      <c r="N199" s="20"/>
      <c r="O199" s="48"/>
      <c r="P199" s="40"/>
      <c r="Q199" s="20"/>
      <c r="R199" s="66"/>
    </row>
    <row r="200" spans="1:18" ht="34.200000000000003" customHeight="1" x14ac:dyDescent="0.3">
      <c r="A200" s="20">
        <v>191</v>
      </c>
      <c r="B200" s="46" t="s">
        <v>191</v>
      </c>
      <c r="C200" s="202" t="s">
        <v>733</v>
      </c>
      <c r="D200" s="22" t="s">
        <v>639</v>
      </c>
      <c r="E200" s="48" t="s">
        <v>643</v>
      </c>
      <c r="F200" s="48">
        <f>100+0</f>
        <v>100</v>
      </c>
      <c r="G200" s="20"/>
      <c r="H200" s="20"/>
      <c r="I200" s="20"/>
      <c r="J200" s="51"/>
      <c r="K200" s="22"/>
      <c r="L200" s="188"/>
      <c r="M200" s="21">
        <v>0.21</v>
      </c>
      <c r="N200" s="20"/>
      <c r="O200" s="48"/>
      <c r="P200" s="40"/>
      <c r="Q200" s="20"/>
      <c r="R200" s="66"/>
    </row>
    <row r="201" spans="1:18" ht="17.399999999999999" customHeight="1" x14ac:dyDescent="0.3">
      <c r="A201" s="20">
        <v>192</v>
      </c>
      <c r="B201" s="60" t="s">
        <v>193</v>
      </c>
      <c r="C201" s="202" t="s">
        <v>497</v>
      </c>
      <c r="D201" s="22" t="s">
        <v>639</v>
      </c>
      <c r="E201" s="48" t="s">
        <v>643</v>
      </c>
      <c r="F201" s="48">
        <f>40+76</f>
        <v>116</v>
      </c>
      <c r="G201" s="20"/>
      <c r="H201" s="20"/>
      <c r="I201" s="20"/>
      <c r="J201" s="53"/>
      <c r="K201" s="22"/>
      <c r="L201" s="188"/>
      <c r="M201" s="21">
        <v>0.21</v>
      </c>
      <c r="N201" s="20"/>
      <c r="O201" s="48"/>
      <c r="P201" s="41"/>
      <c r="Q201" s="20"/>
      <c r="R201" s="66">
        <v>2794049</v>
      </c>
    </row>
    <row r="202" spans="1:18" ht="42.6" customHeight="1" x14ac:dyDescent="0.3">
      <c r="A202" s="20">
        <v>193</v>
      </c>
      <c r="B202" s="46" t="s">
        <v>194</v>
      </c>
      <c r="C202" s="202" t="s">
        <v>499</v>
      </c>
      <c r="D202" s="22" t="s">
        <v>639</v>
      </c>
      <c r="E202" s="48" t="s">
        <v>643</v>
      </c>
      <c r="F202" s="48">
        <f>200+58</f>
        <v>258</v>
      </c>
      <c r="G202" s="20"/>
      <c r="H202" s="20"/>
      <c r="I202" s="20"/>
      <c r="J202" s="51"/>
      <c r="K202" s="22"/>
      <c r="L202" s="188"/>
      <c r="M202" s="21">
        <v>0.21</v>
      </c>
      <c r="N202" s="20"/>
      <c r="O202" s="48"/>
      <c r="P202" s="61" t="s">
        <v>669</v>
      </c>
      <c r="Q202" s="20"/>
      <c r="R202" s="66">
        <v>4810608</v>
      </c>
    </row>
    <row r="203" spans="1:18" ht="27" customHeight="1" x14ac:dyDescent="0.3">
      <c r="A203" s="20">
        <v>194</v>
      </c>
      <c r="B203" s="46" t="s">
        <v>195</v>
      </c>
      <c r="C203" s="202" t="s">
        <v>501</v>
      </c>
      <c r="D203" s="22" t="s">
        <v>639</v>
      </c>
      <c r="E203" s="48" t="s">
        <v>643</v>
      </c>
      <c r="F203" s="48">
        <f>10+21</f>
        <v>31</v>
      </c>
      <c r="G203" s="20"/>
      <c r="H203" s="20"/>
      <c r="I203" s="20"/>
      <c r="J203" s="53"/>
      <c r="K203" s="22"/>
      <c r="L203" s="188"/>
      <c r="M203" s="21">
        <v>0.21</v>
      </c>
      <c r="N203" s="20"/>
      <c r="O203" s="48"/>
      <c r="P203" s="41"/>
      <c r="Q203" s="20"/>
      <c r="R203" s="66">
        <v>7510076</v>
      </c>
    </row>
    <row r="204" spans="1:18" ht="30" customHeight="1" x14ac:dyDescent="0.3">
      <c r="A204" s="20">
        <v>195</v>
      </c>
      <c r="B204" s="46" t="s">
        <v>196</v>
      </c>
      <c r="C204" s="202" t="s">
        <v>503</v>
      </c>
      <c r="D204" s="22" t="s">
        <v>639</v>
      </c>
      <c r="E204" s="48" t="s">
        <v>643</v>
      </c>
      <c r="F204" s="48">
        <f>10+261</f>
        <v>271</v>
      </c>
      <c r="G204" s="20"/>
      <c r="H204" s="20"/>
      <c r="I204" s="20"/>
      <c r="J204" s="53"/>
      <c r="K204" s="22"/>
      <c r="L204" s="188"/>
      <c r="M204" s="21">
        <v>0.21</v>
      </c>
      <c r="N204" s="20"/>
      <c r="O204" s="48"/>
      <c r="P204" s="41"/>
      <c r="Q204" s="20"/>
      <c r="R204" s="66">
        <v>185235</v>
      </c>
    </row>
    <row r="205" spans="1:18" ht="33" customHeight="1" x14ac:dyDescent="0.3">
      <c r="A205" s="20">
        <v>196</v>
      </c>
      <c r="B205" s="46" t="s">
        <v>197</v>
      </c>
      <c r="C205" s="202" t="s">
        <v>505</v>
      </c>
      <c r="D205" s="22" t="s">
        <v>639</v>
      </c>
      <c r="E205" s="48" t="s">
        <v>643</v>
      </c>
      <c r="F205" s="48">
        <f>10+138</f>
        <v>148</v>
      </c>
      <c r="G205" s="20"/>
      <c r="H205" s="20"/>
      <c r="I205" s="20"/>
      <c r="J205" s="51"/>
      <c r="K205" s="22"/>
      <c r="L205" s="188"/>
      <c r="M205" s="21">
        <v>0.21</v>
      </c>
      <c r="N205" s="20"/>
      <c r="O205" s="48"/>
      <c r="P205" s="41"/>
      <c r="Q205" s="20"/>
      <c r="R205" s="66">
        <v>151466</v>
      </c>
    </row>
    <row r="206" spans="1:18" ht="39" customHeight="1" x14ac:dyDescent="0.3">
      <c r="A206" s="20">
        <v>197</v>
      </c>
      <c r="B206" s="46" t="s">
        <v>198</v>
      </c>
      <c r="C206" s="202" t="s">
        <v>507</v>
      </c>
      <c r="D206" s="22" t="s">
        <v>639</v>
      </c>
      <c r="E206" s="48" t="s">
        <v>643</v>
      </c>
      <c r="F206" s="48">
        <f>30+606</f>
        <v>636</v>
      </c>
      <c r="G206" s="20"/>
      <c r="H206" s="20"/>
      <c r="I206" s="20"/>
      <c r="J206" s="53"/>
      <c r="K206" s="22"/>
      <c r="L206" s="188"/>
      <c r="M206" s="21">
        <v>0.21</v>
      </c>
      <c r="N206" s="20"/>
      <c r="O206" s="48"/>
      <c r="P206" s="41"/>
      <c r="Q206" s="20"/>
      <c r="R206" s="66">
        <v>151444</v>
      </c>
    </row>
    <row r="207" spans="1:18" ht="31.8" customHeight="1" x14ac:dyDescent="0.3">
      <c r="A207" s="20">
        <v>198</v>
      </c>
      <c r="B207" s="46" t="s">
        <v>199</v>
      </c>
      <c r="C207" s="202" t="s">
        <v>509</v>
      </c>
      <c r="D207" s="22" t="s">
        <v>639</v>
      </c>
      <c r="E207" s="48" t="s">
        <v>643</v>
      </c>
      <c r="F207" s="48">
        <f>40+145</f>
        <v>185</v>
      </c>
      <c r="G207" s="20"/>
      <c r="H207" s="20"/>
      <c r="I207" s="20"/>
      <c r="J207" s="51"/>
      <c r="K207" s="22"/>
      <c r="L207" s="188"/>
      <c r="M207" s="21">
        <v>0.21</v>
      </c>
      <c r="N207" s="20"/>
      <c r="O207" s="48"/>
      <c r="P207" s="41"/>
      <c r="Q207" s="20"/>
      <c r="R207" s="66">
        <v>179278</v>
      </c>
    </row>
    <row r="208" spans="1:18" ht="14.4" x14ac:dyDescent="0.3">
      <c r="A208" s="20">
        <v>199</v>
      </c>
      <c r="B208" s="46" t="s">
        <v>200</v>
      </c>
      <c r="C208" s="202" t="s">
        <v>511</v>
      </c>
      <c r="D208" s="22" t="s">
        <v>639</v>
      </c>
      <c r="E208" s="48" t="s">
        <v>643</v>
      </c>
      <c r="F208" s="48">
        <f>2+2</f>
        <v>4</v>
      </c>
      <c r="G208" s="20"/>
      <c r="H208" s="20"/>
      <c r="I208" s="20"/>
      <c r="J208" s="53"/>
      <c r="K208" s="22"/>
      <c r="L208" s="188"/>
      <c r="M208" s="21">
        <v>0.21</v>
      </c>
      <c r="N208" s="20"/>
      <c r="O208" s="48"/>
      <c r="P208" s="41"/>
      <c r="Q208" s="20"/>
      <c r="R208" s="66">
        <v>6475259</v>
      </c>
    </row>
    <row r="209" spans="1:18" ht="38.4" customHeight="1" x14ac:dyDescent="0.3">
      <c r="A209" s="20">
        <v>200</v>
      </c>
      <c r="B209" s="46" t="s">
        <v>201</v>
      </c>
      <c r="C209" s="202" t="s">
        <v>512</v>
      </c>
      <c r="D209" s="22" t="s">
        <v>639</v>
      </c>
      <c r="E209" s="48" t="s">
        <v>643</v>
      </c>
      <c r="F209" s="48">
        <f>50+337</f>
        <v>387</v>
      </c>
      <c r="G209" s="20"/>
      <c r="H209" s="20"/>
      <c r="I209" s="20"/>
      <c r="J209" s="53"/>
      <c r="K209" s="22"/>
      <c r="L209" s="188"/>
      <c r="M209" s="21">
        <v>0.21</v>
      </c>
      <c r="N209" s="20"/>
      <c r="O209" s="48"/>
      <c r="P209" s="41"/>
      <c r="Q209" s="63"/>
      <c r="R209" s="66">
        <v>2182455</v>
      </c>
    </row>
    <row r="210" spans="1:18" ht="22.8" customHeight="1" x14ac:dyDescent="0.3">
      <c r="A210" s="20">
        <v>201</v>
      </c>
      <c r="B210" s="46" t="s">
        <v>202</v>
      </c>
      <c r="C210" s="202" t="s">
        <v>513</v>
      </c>
      <c r="D210" s="22" t="s">
        <v>639</v>
      </c>
      <c r="E210" s="48" t="s">
        <v>643</v>
      </c>
      <c r="F210" s="48">
        <f>20+0</f>
        <v>20</v>
      </c>
      <c r="G210" s="20"/>
      <c r="H210" s="20"/>
      <c r="I210" s="20"/>
      <c r="J210" s="51"/>
      <c r="K210" s="22"/>
      <c r="L210" s="188"/>
      <c r="M210" s="21">
        <v>0.21</v>
      </c>
      <c r="N210" s="20"/>
      <c r="O210" s="48"/>
      <c r="P210" s="41"/>
      <c r="Q210" s="63"/>
      <c r="R210" s="66">
        <v>8095476</v>
      </c>
    </row>
    <row r="211" spans="1:18" ht="18" customHeight="1" x14ac:dyDescent="0.3">
      <c r="A211" s="20">
        <v>202</v>
      </c>
      <c r="B211" s="46" t="s">
        <v>205</v>
      </c>
      <c r="C211" s="202" t="s">
        <v>736</v>
      </c>
      <c r="D211" s="22" t="s">
        <v>639</v>
      </c>
      <c r="E211" s="48" t="s">
        <v>643</v>
      </c>
      <c r="F211" s="48">
        <f>10+0</f>
        <v>10</v>
      </c>
      <c r="G211" s="20"/>
      <c r="H211" s="20"/>
      <c r="I211" s="20"/>
      <c r="J211" s="53"/>
      <c r="K211" s="22"/>
      <c r="L211" s="188"/>
      <c r="M211" s="21">
        <v>0.21</v>
      </c>
      <c r="N211" s="20"/>
      <c r="O211" s="48"/>
      <c r="P211" s="41"/>
      <c r="Q211" s="63"/>
      <c r="R211" s="66">
        <v>8151722</v>
      </c>
    </row>
    <row r="212" spans="1:18" ht="28.8" x14ac:dyDescent="0.3">
      <c r="A212" s="20">
        <v>203</v>
      </c>
      <c r="B212" s="46" t="s">
        <v>217</v>
      </c>
      <c r="C212" s="202" t="s">
        <v>516</v>
      </c>
      <c r="D212" s="22" t="s">
        <v>639</v>
      </c>
      <c r="E212" s="48" t="s">
        <v>643</v>
      </c>
      <c r="F212" s="48">
        <f>20+16</f>
        <v>36</v>
      </c>
      <c r="G212" s="20"/>
      <c r="H212" s="20"/>
      <c r="I212" s="20"/>
      <c r="J212" s="51"/>
      <c r="K212" s="22"/>
      <c r="L212" s="188"/>
      <c r="M212" s="21">
        <v>0.21</v>
      </c>
      <c r="N212" s="20"/>
      <c r="O212" s="48"/>
      <c r="P212" s="61" t="s">
        <v>654</v>
      </c>
      <c r="Q212" s="20"/>
    </row>
    <row r="213" spans="1:18" ht="28.8" x14ac:dyDescent="0.3">
      <c r="A213" s="20">
        <v>204</v>
      </c>
      <c r="B213" s="46">
        <v>175</v>
      </c>
      <c r="C213" s="202" t="s">
        <v>518</v>
      </c>
      <c r="D213" s="22" t="s">
        <v>639</v>
      </c>
      <c r="E213" s="48" t="s">
        <v>643</v>
      </c>
      <c r="F213" s="48">
        <f>100+466</f>
        <v>566</v>
      </c>
      <c r="G213" s="20"/>
      <c r="H213" s="20"/>
      <c r="I213" s="20"/>
      <c r="J213" s="51"/>
      <c r="K213" s="22"/>
      <c r="L213" s="188"/>
      <c r="M213" s="21">
        <v>0.21</v>
      </c>
      <c r="N213" s="20"/>
      <c r="O213" s="48"/>
      <c r="P213" s="61" t="s">
        <v>654</v>
      </c>
      <c r="Q213" s="20"/>
    </row>
    <row r="214" spans="1:18" ht="28.8" x14ac:dyDescent="0.3">
      <c r="A214" s="20">
        <v>205</v>
      </c>
      <c r="B214" s="46">
        <v>2692</v>
      </c>
      <c r="C214" s="202" t="s">
        <v>520</v>
      </c>
      <c r="D214" s="22" t="s">
        <v>639</v>
      </c>
      <c r="E214" s="48" t="s">
        <v>643</v>
      </c>
      <c r="F214" s="48">
        <f>10+300</f>
        <v>310</v>
      </c>
      <c r="G214" s="20"/>
      <c r="H214" s="20"/>
      <c r="I214" s="20"/>
      <c r="J214" s="51"/>
      <c r="K214" s="22"/>
      <c r="L214" s="188"/>
      <c r="M214" s="21">
        <v>0.21</v>
      </c>
      <c r="N214" s="20"/>
      <c r="O214" s="48"/>
      <c r="P214" s="61" t="s">
        <v>654</v>
      </c>
      <c r="Q214" s="20"/>
    </row>
    <row r="215" spans="1:18" ht="28.8" x14ac:dyDescent="0.3">
      <c r="A215" s="20">
        <v>206</v>
      </c>
      <c r="B215" s="46">
        <v>2694</v>
      </c>
      <c r="C215" s="202" t="s">
        <v>521</v>
      </c>
      <c r="D215" s="22" t="s">
        <v>639</v>
      </c>
      <c r="E215" s="48" t="s">
        <v>643</v>
      </c>
      <c r="F215" s="48">
        <f>50+6476</f>
        <v>6526</v>
      </c>
      <c r="G215" s="20"/>
      <c r="H215" s="20"/>
      <c r="I215" s="20"/>
      <c r="J215" s="51"/>
      <c r="K215" s="22"/>
      <c r="L215" s="188"/>
      <c r="M215" s="21">
        <v>0.21</v>
      </c>
      <c r="N215" s="20"/>
      <c r="O215" s="48"/>
      <c r="P215" s="61" t="s">
        <v>654</v>
      </c>
      <c r="Q215" s="20"/>
      <c r="R215" s="66">
        <v>6469442</v>
      </c>
    </row>
    <row r="216" spans="1:18" ht="28.8" x14ac:dyDescent="0.3">
      <c r="A216" s="20">
        <v>207</v>
      </c>
      <c r="B216" s="46" t="s">
        <v>24</v>
      </c>
      <c r="C216" s="202" t="s">
        <v>522</v>
      </c>
      <c r="D216" s="22" t="s">
        <v>639</v>
      </c>
      <c r="E216" s="48" t="s">
        <v>643</v>
      </c>
      <c r="F216" s="48">
        <f>40+1038</f>
        <v>1078</v>
      </c>
      <c r="G216" s="20"/>
      <c r="H216" s="20"/>
      <c r="I216" s="20"/>
      <c r="J216" s="51"/>
      <c r="K216" s="22"/>
      <c r="L216" s="188"/>
      <c r="M216" s="21">
        <v>0.21</v>
      </c>
      <c r="N216" s="20"/>
      <c r="O216" s="48"/>
      <c r="P216" s="61" t="s">
        <v>654</v>
      </c>
      <c r="Q216" s="20"/>
      <c r="R216" s="66">
        <v>6469431</v>
      </c>
    </row>
    <row r="217" spans="1:18" ht="28.8" x14ac:dyDescent="0.3">
      <c r="A217" s="20">
        <v>208</v>
      </c>
      <c r="B217" s="46" t="s">
        <v>216</v>
      </c>
      <c r="C217" s="202" t="s">
        <v>524</v>
      </c>
      <c r="D217" s="22" t="s">
        <v>639</v>
      </c>
      <c r="E217" s="48" t="s">
        <v>643</v>
      </c>
      <c r="F217" s="48">
        <f>40+26</f>
        <v>66</v>
      </c>
      <c r="G217" s="20"/>
      <c r="H217" s="20"/>
      <c r="I217" s="20"/>
      <c r="J217" s="51"/>
      <c r="K217" s="22"/>
      <c r="L217" s="188"/>
      <c r="M217" s="21">
        <v>0.21</v>
      </c>
      <c r="N217" s="20"/>
      <c r="O217" s="48"/>
      <c r="P217" s="61" t="s">
        <v>654</v>
      </c>
      <c r="Q217" s="20"/>
    </row>
    <row r="218" spans="1:18" ht="28.8" x14ac:dyDescent="0.3">
      <c r="A218" s="20">
        <v>209</v>
      </c>
      <c r="B218" s="46" t="s">
        <v>211</v>
      </c>
      <c r="C218" s="202" t="s">
        <v>526</v>
      </c>
      <c r="D218" s="22" t="s">
        <v>639</v>
      </c>
      <c r="E218" s="48" t="s">
        <v>643</v>
      </c>
      <c r="F218" s="48">
        <f>10+42</f>
        <v>52</v>
      </c>
      <c r="G218" s="20"/>
      <c r="H218" s="20"/>
      <c r="I218" s="20"/>
      <c r="J218" s="51"/>
      <c r="K218" s="22"/>
      <c r="L218" s="188"/>
      <c r="M218" s="21">
        <v>0.21</v>
      </c>
      <c r="N218" s="20"/>
      <c r="O218" s="48"/>
      <c r="P218" s="61" t="s">
        <v>654</v>
      </c>
      <c r="Q218" s="20"/>
      <c r="R218" s="66">
        <v>105024</v>
      </c>
    </row>
    <row r="219" spans="1:18" ht="28.8" x14ac:dyDescent="0.3">
      <c r="A219" s="20">
        <v>210</v>
      </c>
      <c r="B219" s="46" t="s">
        <v>212</v>
      </c>
      <c r="C219" s="202" t="s">
        <v>528</v>
      </c>
      <c r="D219" s="22" t="s">
        <v>639</v>
      </c>
      <c r="E219" s="48" t="s">
        <v>643</v>
      </c>
      <c r="F219" s="48">
        <f>10+51</f>
        <v>61</v>
      </c>
      <c r="G219" s="20"/>
      <c r="H219" s="20"/>
      <c r="I219" s="20"/>
      <c r="J219" s="51"/>
      <c r="K219" s="22"/>
      <c r="L219" s="188"/>
      <c r="M219" s="21">
        <v>0.21</v>
      </c>
      <c r="N219" s="20"/>
      <c r="O219" s="48"/>
      <c r="P219" s="61" t="s">
        <v>654</v>
      </c>
      <c r="Q219" s="20"/>
      <c r="R219" s="66">
        <v>105068</v>
      </c>
    </row>
    <row r="220" spans="1:18" ht="28.8" x14ac:dyDescent="0.3">
      <c r="A220" s="20">
        <v>211</v>
      </c>
      <c r="B220" s="46" t="s">
        <v>210</v>
      </c>
      <c r="C220" s="202" t="s">
        <v>530</v>
      </c>
      <c r="D220" s="22" t="s">
        <v>639</v>
      </c>
      <c r="E220" s="48" t="s">
        <v>643</v>
      </c>
      <c r="F220" s="48">
        <f>10+0</f>
        <v>10</v>
      </c>
      <c r="G220" s="20"/>
      <c r="H220" s="20"/>
      <c r="I220" s="20"/>
      <c r="J220" s="51"/>
      <c r="K220" s="22"/>
      <c r="L220" s="188"/>
      <c r="M220" s="21">
        <v>0.21</v>
      </c>
      <c r="N220" s="20"/>
      <c r="O220" s="48"/>
      <c r="P220" s="61" t="s">
        <v>670</v>
      </c>
      <c r="Q220" s="63"/>
      <c r="R220" s="66">
        <v>105148</v>
      </c>
    </row>
    <row r="221" spans="1:18" ht="28.8" x14ac:dyDescent="0.3">
      <c r="A221" s="20">
        <v>212</v>
      </c>
      <c r="B221" s="46" t="s">
        <v>206</v>
      </c>
      <c r="C221" s="202" t="s">
        <v>737</v>
      </c>
      <c r="D221" s="22" t="s">
        <v>639</v>
      </c>
      <c r="E221" s="48" t="s">
        <v>643</v>
      </c>
      <c r="F221" s="48">
        <f>20+33</f>
        <v>53</v>
      </c>
      <c r="G221" s="20"/>
      <c r="H221" s="20"/>
      <c r="I221" s="20"/>
      <c r="J221" s="51"/>
      <c r="K221" s="22"/>
      <c r="L221" s="188"/>
      <c r="M221" s="21">
        <v>0.21</v>
      </c>
      <c r="N221" s="20"/>
      <c r="O221" s="48"/>
      <c r="P221" s="61" t="s">
        <v>654</v>
      </c>
      <c r="Q221" s="20"/>
      <c r="R221" s="20">
        <v>1139869</v>
      </c>
    </row>
    <row r="222" spans="1:18" ht="28.8" x14ac:dyDescent="0.3">
      <c r="A222" s="20">
        <v>213</v>
      </c>
      <c r="B222" s="46" t="s">
        <v>207</v>
      </c>
      <c r="C222" s="202" t="s">
        <v>738</v>
      </c>
      <c r="D222" s="22" t="s">
        <v>639</v>
      </c>
      <c r="E222" s="48" t="s">
        <v>643</v>
      </c>
      <c r="F222" s="48">
        <f>50+392</f>
        <v>442</v>
      </c>
      <c r="G222" s="20"/>
      <c r="H222" s="20"/>
      <c r="I222" s="20"/>
      <c r="J222" s="51"/>
      <c r="K222" s="22"/>
      <c r="L222" s="188"/>
      <c r="M222" s="21">
        <v>0.21</v>
      </c>
      <c r="N222" s="20"/>
      <c r="O222" s="48"/>
      <c r="P222" s="61" t="s">
        <v>654</v>
      </c>
      <c r="Q222" s="20"/>
      <c r="R222" s="20">
        <v>993157</v>
      </c>
    </row>
    <row r="223" spans="1:18" ht="28.8" x14ac:dyDescent="0.3">
      <c r="A223" s="20">
        <v>214</v>
      </c>
      <c r="B223" s="46" t="s">
        <v>208</v>
      </c>
      <c r="C223" s="202" t="s">
        <v>739</v>
      </c>
      <c r="D223" s="22" t="s">
        <v>639</v>
      </c>
      <c r="E223" s="48" t="s">
        <v>643</v>
      </c>
      <c r="F223" s="48">
        <f>120+1243</f>
        <v>1363</v>
      </c>
      <c r="G223" s="20"/>
      <c r="H223" s="20"/>
      <c r="I223" s="20"/>
      <c r="J223" s="51"/>
      <c r="K223" s="22"/>
      <c r="L223" s="188"/>
      <c r="M223" s="21">
        <v>0.21</v>
      </c>
      <c r="N223" s="20"/>
      <c r="O223" s="48"/>
      <c r="P223" s="61" t="s">
        <v>654</v>
      </c>
      <c r="Q223" s="20"/>
      <c r="R223" s="20">
        <v>1139858</v>
      </c>
    </row>
    <row r="224" spans="1:18" ht="28.8" x14ac:dyDescent="0.3">
      <c r="A224" s="20">
        <v>215</v>
      </c>
      <c r="B224" s="46" t="s">
        <v>209</v>
      </c>
      <c r="C224" s="202" t="s">
        <v>740</v>
      </c>
      <c r="D224" s="22" t="s">
        <v>639</v>
      </c>
      <c r="E224" s="48" t="s">
        <v>643</v>
      </c>
      <c r="F224" s="48">
        <f>40+22</f>
        <v>62</v>
      </c>
      <c r="G224" s="20"/>
      <c r="H224" s="20"/>
      <c r="I224" s="20"/>
      <c r="J224" s="51"/>
      <c r="K224" s="22"/>
      <c r="L224" s="188"/>
      <c r="M224" s="21">
        <v>0.21</v>
      </c>
      <c r="N224" s="20"/>
      <c r="O224" s="48"/>
      <c r="P224" s="61" t="s">
        <v>654</v>
      </c>
      <c r="Q224" s="20"/>
      <c r="R224" s="20">
        <v>5037853</v>
      </c>
    </row>
    <row r="225" spans="1:18" ht="30.6" x14ac:dyDescent="0.3">
      <c r="A225" s="20">
        <v>216</v>
      </c>
      <c r="B225" s="46" t="s">
        <v>214</v>
      </c>
      <c r="C225" s="202" t="s">
        <v>741</v>
      </c>
      <c r="D225" s="22" t="s">
        <v>639</v>
      </c>
      <c r="E225" s="48" t="s">
        <v>643</v>
      </c>
      <c r="F225" s="48">
        <f>100+138</f>
        <v>238</v>
      </c>
      <c r="G225" s="20"/>
      <c r="H225" s="20"/>
      <c r="I225" s="20"/>
      <c r="J225" s="51"/>
      <c r="K225" s="22"/>
      <c r="L225" s="188"/>
      <c r="M225" s="21">
        <v>0.21</v>
      </c>
      <c r="N225" s="20"/>
      <c r="O225" s="48"/>
      <c r="P225" s="61" t="s">
        <v>671</v>
      </c>
      <c r="Q225" s="20"/>
      <c r="R225" s="20"/>
    </row>
    <row r="226" spans="1:18" ht="28.8" x14ac:dyDescent="0.3">
      <c r="A226" s="20">
        <v>217</v>
      </c>
      <c r="B226" s="46" t="s">
        <v>215</v>
      </c>
      <c r="C226" s="202" t="s">
        <v>742</v>
      </c>
      <c r="D226" s="22" t="s">
        <v>639</v>
      </c>
      <c r="E226" s="48" t="s">
        <v>643</v>
      </c>
      <c r="F226" s="48">
        <f>20+534</f>
        <v>554</v>
      </c>
      <c r="G226" s="20"/>
      <c r="H226" s="20"/>
      <c r="I226" s="20"/>
      <c r="J226" s="51"/>
      <c r="K226" s="22"/>
      <c r="L226" s="188"/>
      <c r="M226" s="21">
        <v>0.21</v>
      </c>
      <c r="N226" s="20"/>
      <c r="O226" s="48"/>
      <c r="P226" s="61" t="s">
        <v>654</v>
      </c>
      <c r="Q226" s="20"/>
      <c r="R226" s="20">
        <v>143333</v>
      </c>
    </row>
    <row r="227" spans="1:18" ht="28.8" x14ac:dyDescent="0.3">
      <c r="A227" s="20">
        <v>218</v>
      </c>
      <c r="B227" s="46" t="s">
        <v>213</v>
      </c>
      <c r="C227" s="202" t="s">
        <v>743</v>
      </c>
      <c r="D227" s="22" t="s">
        <v>639</v>
      </c>
      <c r="E227" s="48" t="s">
        <v>643</v>
      </c>
      <c r="F227" s="48">
        <f>40+296</f>
        <v>336</v>
      </c>
      <c r="G227" s="20"/>
      <c r="H227" s="20"/>
      <c r="I227" s="20"/>
      <c r="J227" s="51"/>
      <c r="K227" s="22"/>
      <c r="L227" s="188"/>
      <c r="M227" s="21">
        <v>0.21</v>
      </c>
      <c r="N227" s="20"/>
      <c r="O227" s="48"/>
      <c r="P227" s="61" t="s">
        <v>654</v>
      </c>
      <c r="Q227" s="20"/>
      <c r="R227" s="20">
        <v>1007259</v>
      </c>
    </row>
    <row r="228" spans="1:18" ht="28.8" x14ac:dyDescent="0.3">
      <c r="A228" s="20">
        <v>219</v>
      </c>
      <c r="B228" s="46" t="s">
        <v>219</v>
      </c>
      <c r="C228" s="202" t="s">
        <v>532</v>
      </c>
      <c r="D228" s="22" t="s">
        <v>639</v>
      </c>
      <c r="E228" s="48" t="s">
        <v>643</v>
      </c>
      <c r="F228" s="48">
        <f>20+21</f>
        <v>41</v>
      </c>
      <c r="G228" s="20"/>
      <c r="H228" s="20"/>
      <c r="I228" s="20"/>
      <c r="J228" s="51"/>
      <c r="K228" s="22"/>
      <c r="L228" s="188"/>
      <c r="M228" s="21">
        <v>0.21</v>
      </c>
      <c r="N228" s="20"/>
      <c r="O228" s="48"/>
      <c r="P228" s="61" t="s">
        <v>653</v>
      </c>
      <c r="Q228" s="63"/>
      <c r="R228" s="63">
        <v>13243427</v>
      </c>
    </row>
    <row r="229" spans="1:18" s="2" customFormat="1" ht="19.8" customHeight="1" thickBot="1" x14ac:dyDescent="0.25">
      <c r="A229" s="225" t="s">
        <v>640</v>
      </c>
      <c r="B229" s="226"/>
      <c r="C229" s="226"/>
      <c r="D229" s="226"/>
      <c r="E229" s="226"/>
      <c r="F229" s="226"/>
      <c r="G229" s="226"/>
      <c r="H229" s="226"/>
      <c r="I229" s="226"/>
      <c r="J229" s="226"/>
      <c r="K229" s="226"/>
      <c r="L229" s="226"/>
      <c r="M229" s="183">
        <f>SUM(L3:L228)</f>
        <v>0</v>
      </c>
      <c r="N229" s="3"/>
      <c r="O229" s="3"/>
      <c r="P229" s="42"/>
      <c r="Q229" s="4"/>
    </row>
    <row r="230" spans="1:18" s="2" customFormat="1" ht="16.2" customHeight="1" thickTop="1" thickBot="1" x14ac:dyDescent="0.25">
      <c r="A230" s="211" t="s">
        <v>641</v>
      </c>
      <c r="B230" s="211"/>
      <c r="C230" s="211"/>
      <c r="D230" s="211"/>
      <c r="E230" s="211"/>
      <c r="F230" s="211"/>
      <c r="G230" s="211"/>
      <c r="H230" s="211"/>
      <c r="I230" s="211"/>
      <c r="J230" s="211"/>
      <c r="K230" s="211"/>
      <c r="L230" s="211"/>
      <c r="M230" s="150">
        <f>ROUND(0.21*M229,2)</f>
        <v>0</v>
      </c>
      <c r="N230" s="5"/>
      <c r="O230" s="5"/>
      <c r="P230" s="43"/>
      <c r="Q230" s="6"/>
    </row>
    <row r="231" spans="1:18" s="2" customFormat="1" ht="17.399999999999999" customHeight="1" thickTop="1" thickBot="1" x14ac:dyDescent="0.25">
      <c r="A231" s="212" t="s">
        <v>642</v>
      </c>
      <c r="B231" s="212"/>
      <c r="C231" s="212"/>
      <c r="D231" s="212"/>
      <c r="E231" s="212"/>
      <c r="F231" s="212"/>
      <c r="G231" s="212"/>
      <c r="H231" s="212"/>
      <c r="I231" s="212"/>
      <c r="J231" s="212"/>
      <c r="K231" s="212"/>
      <c r="L231" s="212"/>
      <c r="M231" s="183">
        <f>M229+M230</f>
        <v>0</v>
      </c>
      <c r="N231" s="184"/>
      <c r="O231" s="7"/>
      <c r="P231" s="44"/>
      <c r="Q231" s="8"/>
    </row>
    <row r="232" spans="1:18" s="2" customFormat="1" ht="10.8" thickTop="1" x14ac:dyDescent="0.2">
      <c r="A232" s="173"/>
      <c r="B232" s="174"/>
      <c r="C232" s="196"/>
      <c r="D232" s="175"/>
      <c r="E232" s="176"/>
      <c r="F232" s="176"/>
      <c r="G232" s="174"/>
      <c r="H232" s="177"/>
      <c r="I232" s="177"/>
      <c r="J232" s="54"/>
      <c r="K232" s="178"/>
      <c r="L232" s="172"/>
      <c r="M232" s="179"/>
      <c r="N232" s="180"/>
      <c r="O232" s="180"/>
      <c r="P232" s="181"/>
      <c r="Q232" s="182"/>
    </row>
    <row r="233" spans="1:18" s="2" customFormat="1" ht="10.199999999999999" x14ac:dyDescent="0.2">
      <c r="A233" s="213" t="s">
        <v>7</v>
      </c>
      <c r="B233" s="213"/>
      <c r="C233" s="213"/>
      <c r="D233" s="213"/>
      <c r="E233" s="213"/>
      <c r="F233" s="213"/>
      <c r="G233" s="213"/>
      <c r="H233" s="213"/>
      <c r="I233" s="213"/>
      <c r="J233" s="213"/>
      <c r="K233" s="213"/>
      <c r="L233" s="213"/>
      <c r="M233" s="213"/>
      <c r="N233" s="213"/>
      <c r="O233" s="213"/>
      <c r="P233" s="213"/>
      <c r="Q233" s="213"/>
    </row>
    <row r="234" spans="1:18" s="2" customFormat="1" ht="10.199999999999999" x14ac:dyDescent="0.2">
      <c r="A234" s="213"/>
      <c r="B234" s="213"/>
      <c r="C234" s="213"/>
      <c r="D234" s="213"/>
      <c r="E234" s="213"/>
      <c r="F234" s="213"/>
      <c r="G234" s="213"/>
      <c r="H234" s="213"/>
      <c r="I234" s="213"/>
      <c r="J234" s="213"/>
      <c r="K234" s="213"/>
      <c r="L234" s="213"/>
      <c r="M234" s="213"/>
      <c r="N234" s="213"/>
      <c r="O234" s="213"/>
      <c r="P234" s="213"/>
      <c r="Q234" s="213"/>
    </row>
    <row r="235" spans="1:18" s="2" customFormat="1" ht="10.199999999999999" x14ac:dyDescent="0.2">
      <c r="A235" s="173"/>
      <c r="B235" s="174"/>
      <c r="C235" s="196"/>
      <c r="D235" s="175"/>
      <c r="E235" s="176"/>
      <c r="F235" s="176"/>
      <c r="G235" s="174"/>
      <c r="H235" s="177"/>
      <c r="I235" s="177"/>
      <c r="J235" s="54"/>
      <c r="K235" s="178"/>
      <c r="L235" s="172"/>
      <c r="M235" s="179"/>
      <c r="N235" s="180"/>
      <c r="O235" s="180"/>
      <c r="P235" s="181"/>
      <c r="Q235" s="182"/>
    </row>
    <row r="236" spans="1:18" s="2" customFormat="1" ht="10.199999999999999" x14ac:dyDescent="0.2">
      <c r="A236" s="214" t="s">
        <v>8</v>
      </c>
      <c r="B236" s="214"/>
      <c r="C236" s="214"/>
      <c r="D236" s="214"/>
      <c r="E236" s="214"/>
      <c r="F236" s="214"/>
      <c r="G236" s="214"/>
      <c r="H236" s="214"/>
      <c r="I236" s="214"/>
      <c r="J236" s="214"/>
      <c r="K236" s="214"/>
      <c r="L236" s="214"/>
      <c r="M236" s="214"/>
      <c r="N236" s="214"/>
      <c r="O236" s="214"/>
      <c r="P236" s="214"/>
      <c r="Q236" s="214"/>
    </row>
    <row r="237" spans="1:18" s="2" customFormat="1" ht="10.199999999999999" x14ac:dyDescent="0.2">
      <c r="A237" s="215"/>
      <c r="B237" s="216"/>
      <c r="C237" s="216"/>
      <c r="D237" s="217"/>
      <c r="E237" s="218"/>
      <c r="F237" s="218"/>
      <c r="G237" s="216"/>
      <c r="H237" s="219"/>
      <c r="I237" s="219"/>
      <c r="J237" s="218"/>
      <c r="K237" s="220"/>
      <c r="L237" s="214"/>
      <c r="M237" s="221"/>
      <c r="N237" s="222"/>
      <c r="O237" s="222"/>
      <c r="P237" s="223"/>
      <c r="Q237" s="224"/>
    </row>
    <row r="238" spans="1:18" s="2" customFormat="1" ht="10.199999999999999" x14ac:dyDescent="0.2">
      <c r="A238" s="215"/>
      <c r="B238" s="216"/>
      <c r="C238" s="216"/>
      <c r="D238" s="217"/>
      <c r="E238" s="218"/>
      <c r="F238" s="218"/>
      <c r="G238" s="216"/>
      <c r="H238" s="219"/>
      <c r="I238" s="219"/>
      <c r="J238" s="218"/>
      <c r="K238" s="220"/>
      <c r="L238" s="214"/>
      <c r="M238" s="221"/>
      <c r="N238" s="222"/>
      <c r="O238" s="222"/>
      <c r="P238" s="223"/>
      <c r="Q238" s="224"/>
    </row>
    <row r="239" spans="1:18" s="2" customFormat="1" ht="10.199999999999999" x14ac:dyDescent="0.2">
      <c r="A239" s="215"/>
      <c r="B239" s="216"/>
      <c r="C239" s="216"/>
      <c r="D239" s="217"/>
      <c r="E239" s="218"/>
      <c r="F239" s="218"/>
      <c r="G239" s="216"/>
      <c r="H239" s="219"/>
      <c r="I239" s="219"/>
      <c r="J239" s="218"/>
      <c r="K239" s="220"/>
      <c r="L239" s="214"/>
      <c r="M239" s="221"/>
      <c r="N239" s="222"/>
      <c r="O239" s="222"/>
      <c r="P239" s="223"/>
      <c r="Q239" s="224"/>
    </row>
    <row r="240" spans="1:18" s="2" customFormat="1" ht="10.199999999999999" x14ac:dyDescent="0.2">
      <c r="A240" s="215"/>
      <c r="B240" s="216"/>
      <c r="C240" s="216"/>
      <c r="D240" s="217"/>
      <c r="E240" s="218"/>
      <c r="F240" s="218"/>
      <c r="G240" s="216"/>
      <c r="H240" s="219"/>
      <c r="I240" s="219"/>
      <c r="J240" s="218"/>
      <c r="K240" s="220"/>
      <c r="L240" s="214"/>
      <c r="M240" s="221"/>
      <c r="N240" s="222"/>
      <c r="O240" s="222"/>
      <c r="P240" s="223"/>
      <c r="Q240" s="224"/>
    </row>
    <row r="241" spans="1:17" s="2" customFormat="1" ht="10.199999999999999" x14ac:dyDescent="0.2">
      <c r="A241" s="215"/>
      <c r="B241" s="216"/>
      <c r="C241" s="216"/>
      <c r="D241" s="217"/>
      <c r="E241" s="218"/>
      <c r="F241" s="218"/>
      <c r="G241" s="216"/>
      <c r="H241" s="219"/>
      <c r="I241" s="219"/>
      <c r="J241" s="218"/>
      <c r="K241" s="220"/>
      <c r="L241" s="214"/>
      <c r="M241" s="221"/>
      <c r="N241" s="222"/>
      <c r="O241" s="222"/>
      <c r="P241" s="223"/>
      <c r="Q241" s="224"/>
    </row>
    <row r="242" spans="1:17" s="2" customFormat="1" ht="10.199999999999999" x14ac:dyDescent="0.2">
      <c r="A242" s="215"/>
      <c r="B242" s="216"/>
      <c r="C242" s="216"/>
      <c r="D242" s="217"/>
      <c r="E242" s="218"/>
      <c r="F242" s="218"/>
      <c r="G242" s="216"/>
      <c r="H242" s="219"/>
      <c r="I242" s="219"/>
      <c r="J242" s="218"/>
      <c r="K242" s="220"/>
      <c r="L242" s="214"/>
      <c r="M242" s="221"/>
      <c r="N242" s="222"/>
      <c r="O242" s="222"/>
      <c r="P242" s="223"/>
      <c r="Q242" s="224"/>
    </row>
    <row r="243" spans="1:17" s="2" customFormat="1" ht="10.199999999999999" x14ac:dyDescent="0.2">
      <c r="A243" s="215"/>
      <c r="B243" s="216"/>
      <c r="C243" s="216"/>
      <c r="D243" s="217"/>
      <c r="E243" s="218"/>
      <c r="F243" s="218"/>
      <c r="G243" s="216"/>
      <c r="H243" s="219"/>
      <c r="I243" s="219"/>
      <c r="J243" s="218"/>
      <c r="K243" s="220"/>
      <c r="L243" s="214"/>
      <c r="M243" s="221"/>
      <c r="N243" s="222"/>
      <c r="O243" s="222"/>
      <c r="P243" s="223"/>
      <c r="Q243" s="224"/>
    </row>
    <row r="244" spans="1:17" s="2" customFormat="1" ht="10.199999999999999" x14ac:dyDescent="0.2">
      <c r="A244" s="215"/>
      <c r="B244" s="216"/>
      <c r="C244" s="216"/>
      <c r="D244" s="217"/>
      <c r="E244" s="218"/>
      <c r="F244" s="218"/>
      <c r="G244" s="216"/>
      <c r="H244" s="219"/>
      <c r="I244" s="219"/>
      <c r="J244" s="218"/>
      <c r="K244" s="220"/>
      <c r="L244" s="214"/>
      <c r="M244" s="221"/>
      <c r="N244" s="222"/>
      <c r="O244" s="222"/>
      <c r="P244" s="223"/>
      <c r="Q244" s="224"/>
    </row>
    <row r="245" spans="1:17" s="2" customFormat="1" ht="10.199999999999999" x14ac:dyDescent="0.2">
      <c r="A245" s="215"/>
      <c r="B245" s="216"/>
      <c r="C245" s="216"/>
      <c r="D245" s="217"/>
      <c r="E245" s="218"/>
      <c r="F245" s="218"/>
      <c r="G245" s="216"/>
      <c r="H245" s="219"/>
      <c r="I245" s="219"/>
      <c r="J245" s="218"/>
      <c r="K245" s="220"/>
      <c r="L245" s="214"/>
      <c r="M245" s="221"/>
      <c r="N245" s="222"/>
      <c r="O245" s="222"/>
      <c r="P245" s="223"/>
      <c r="Q245" s="224"/>
    </row>
    <row r="246" spans="1:17" s="2" customFormat="1" ht="10.199999999999999" x14ac:dyDescent="0.2">
      <c r="A246" s="215"/>
      <c r="B246" s="216"/>
      <c r="C246" s="216"/>
      <c r="D246" s="217"/>
      <c r="E246" s="218"/>
      <c r="F246" s="218"/>
      <c r="G246" s="216"/>
      <c r="H246" s="219"/>
      <c r="I246" s="219"/>
      <c r="J246" s="218"/>
      <c r="K246" s="220"/>
      <c r="L246" s="214"/>
      <c r="M246" s="221"/>
      <c r="N246" s="222"/>
      <c r="O246" s="222"/>
      <c r="P246" s="223"/>
      <c r="Q246" s="224"/>
    </row>
    <row r="247" spans="1:17" s="2" customFormat="1" ht="10.199999999999999" x14ac:dyDescent="0.2">
      <c r="A247" s="215"/>
      <c r="B247" s="216"/>
      <c r="C247" s="216"/>
      <c r="D247" s="217"/>
      <c r="E247" s="218"/>
      <c r="F247" s="218"/>
      <c r="G247" s="216"/>
      <c r="H247" s="219"/>
      <c r="I247" s="219"/>
      <c r="J247" s="218"/>
      <c r="K247" s="220"/>
      <c r="L247" s="214"/>
      <c r="M247" s="221"/>
      <c r="N247" s="222"/>
      <c r="O247" s="222"/>
      <c r="P247" s="223"/>
      <c r="Q247" s="224"/>
    </row>
    <row r="248" spans="1:17" s="2" customFormat="1" ht="10.199999999999999" x14ac:dyDescent="0.2">
      <c r="A248" s="215"/>
      <c r="B248" s="216"/>
      <c r="C248" s="216"/>
      <c r="D248" s="217"/>
      <c r="E248" s="218"/>
      <c r="F248" s="218"/>
      <c r="G248" s="216"/>
      <c r="H248" s="219"/>
      <c r="I248" s="219"/>
      <c r="J248" s="218"/>
      <c r="K248" s="220"/>
      <c r="L248" s="214"/>
      <c r="M248" s="221"/>
      <c r="N248" s="222"/>
      <c r="O248" s="222"/>
      <c r="P248" s="223"/>
      <c r="Q248" s="224"/>
    </row>
    <row r="249" spans="1:17" s="2" customFormat="1" ht="10.199999999999999" x14ac:dyDescent="0.2">
      <c r="A249" s="215"/>
      <c r="B249" s="216"/>
      <c r="C249" s="216"/>
      <c r="D249" s="217"/>
      <c r="E249" s="218"/>
      <c r="F249" s="218"/>
      <c r="G249" s="216"/>
      <c r="H249" s="219"/>
      <c r="I249" s="219"/>
      <c r="J249" s="218"/>
      <c r="K249" s="220"/>
      <c r="L249" s="214"/>
      <c r="M249" s="221"/>
      <c r="N249" s="222"/>
      <c r="O249" s="222"/>
      <c r="P249" s="223"/>
      <c r="Q249" s="224"/>
    </row>
    <row r="250" spans="1:17" s="2" customFormat="1" ht="10.199999999999999" x14ac:dyDescent="0.2">
      <c r="A250" s="215"/>
      <c r="B250" s="216"/>
      <c r="C250" s="216"/>
      <c r="D250" s="217"/>
      <c r="E250" s="218"/>
      <c r="F250" s="218"/>
      <c r="G250" s="216"/>
      <c r="H250" s="219"/>
      <c r="I250" s="219"/>
      <c r="J250" s="218"/>
      <c r="K250" s="220"/>
      <c r="L250" s="214"/>
      <c r="M250" s="221"/>
      <c r="N250" s="222"/>
      <c r="O250" s="222"/>
      <c r="P250" s="223"/>
      <c r="Q250" s="224"/>
    </row>
    <row r="251" spans="1:17" s="2" customFormat="1" ht="10.199999999999999" x14ac:dyDescent="0.2">
      <c r="A251" s="173"/>
      <c r="B251" s="174"/>
      <c r="C251" s="196"/>
      <c r="D251" s="176"/>
      <c r="E251" s="176"/>
      <c r="F251" s="176"/>
      <c r="G251" s="177"/>
      <c r="H251" s="177"/>
      <c r="I251" s="176"/>
      <c r="J251" s="178"/>
      <c r="K251" s="172"/>
      <c r="L251" s="179"/>
      <c r="M251" s="180"/>
      <c r="N251" s="181"/>
      <c r="O251" s="181"/>
      <c r="P251" s="182"/>
      <c r="Q251" s="182"/>
    </row>
    <row r="252" spans="1:17" ht="14.4" x14ac:dyDescent="0.3"/>
    <row r="253" spans="1:17" ht="14.4" x14ac:dyDescent="0.3"/>
    <row r="254" spans="1:17" ht="14.4" x14ac:dyDescent="0.3"/>
    <row r="255" spans="1:17" ht="14.4" x14ac:dyDescent="0.3"/>
    <row r="256" spans="1:17"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row r="324" ht="14.4" x14ac:dyDescent="0.3"/>
    <row r="325" ht="14.4" x14ac:dyDescent="0.3"/>
    <row r="326" ht="14.4" x14ac:dyDescent="0.3"/>
    <row r="327" ht="14.4" x14ac:dyDescent="0.3"/>
    <row r="328" ht="14.4" x14ac:dyDescent="0.3"/>
    <row r="329" ht="14.4" x14ac:dyDescent="0.3"/>
  </sheetData>
  <mergeCells count="5">
    <mergeCell ref="A229:L229"/>
    <mergeCell ref="A230:L230"/>
    <mergeCell ref="A231:L231"/>
    <mergeCell ref="A233:Q234"/>
    <mergeCell ref="A236:Q2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Postes_NL</vt:lpstr>
      <vt:lpstr>Postes_FR</vt:lpstr>
    </vt:vector>
  </TitlesOfParts>
  <Company>Bruxelles Environnement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VOS Olivia</dc:creator>
  <cp:lastModifiedBy>DE VOS Olivia</cp:lastModifiedBy>
  <dcterms:created xsi:type="dcterms:W3CDTF">2022-04-06T13:42:12Z</dcterms:created>
  <dcterms:modified xsi:type="dcterms:W3CDTF">2022-12-09T14:32:49Z</dcterms:modified>
</cp:coreProperties>
</file>